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ta UMSIDA\"/>
    </mc:Choice>
  </mc:AlternateContent>
  <bookViews>
    <workbookView xWindow="0" yWindow="0" windowWidth="20460" windowHeight="7365" tabRatio="602" activeTab="3"/>
  </bookViews>
  <sheets>
    <sheet name="REKAP A.R" sheetId="1" r:id="rId1"/>
    <sheet name="HASIL HITUNGAN" sheetId="2" r:id="rId2"/>
    <sheet name="TABULASI DATA" sheetId="3" r:id="rId3"/>
    <sheet name="TRANSFORM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2" i="3"/>
  <c r="D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B46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2" i="3"/>
  <c r="D15" i="2"/>
  <c r="D14" i="2"/>
  <c r="AN16" i="1"/>
  <c r="AK16" i="1"/>
  <c r="AG16" i="1"/>
  <c r="M16" i="2" s="1"/>
  <c r="AE16" i="1"/>
  <c r="AC16" i="1"/>
  <c r="AA16" i="1"/>
  <c r="Y16" i="1"/>
  <c r="K16" i="2" s="1"/>
  <c r="V16" i="1"/>
  <c r="S16" i="1"/>
  <c r="P16" i="1"/>
  <c r="L16" i="1"/>
  <c r="J16" i="1"/>
  <c r="AO16" i="1" s="1"/>
  <c r="N16" i="2" s="1"/>
  <c r="H16" i="1"/>
  <c r="AN15" i="1"/>
  <c r="AK15" i="1"/>
  <c r="AG15" i="1"/>
  <c r="AE15" i="1"/>
  <c r="M15" i="2" s="1"/>
  <c r="AC15" i="1"/>
  <c r="AA15" i="1"/>
  <c r="Y15" i="1"/>
  <c r="V15" i="1"/>
  <c r="H15" i="2" s="1"/>
  <c r="S15" i="1"/>
  <c r="P15" i="1"/>
  <c r="Q16" i="1" s="1"/>
  <c r="L15" i="1"/>
  <c r="AO15" i="1" s="1"/>
  <c r="N15" i="2" s="1"/>
  <c r="J15" i="1"/>
  <c r="H15" i="1"/>
  <c r="AO14" i="1"/>
  <c r="AN14" i="1"/>
  <c r="N14" i="2" s="1"/>
  <c r="Q14" i="1"/>
  <c r="P14" i="1"/>
  <c r="Q15" i="1" s="1"/>
  <c r="G15" i="2" s="1"/>
  <c r="AQ19" i="1"/>
  <c r="AN19" i="1"/>
  <c r="N19" i="2" s="1"/>
  <c r="AG19" i="1"/>
  <c r="AE19" i="1"/>
  <c r="AC19" i="1"/>
  <c r="AA19" i="1"/>
  <c r="K19" i="2" s="1"/>
  <c r="Y19" i="1"/>
  <c r="U19" i="1"/>
  <c r="S19" i="1"/>
  <c r="J19" i="2" s="1"/>
  <c r="Q19" i="1"/>
  <c r="G19" i="2" s="1"/>
  <c r="P19" i="1"/>
  <c r="L19" i="1"/>
  <c r="J19" i="1"/>
  <c r="AO19" i="1" s="1"/>
  <c r="H19" i="1"/>
  <c r="AQ18" i="1"/>
  <c r="AN18" i="1"/>
  <c r="AG18" i="1"/>
  <c r="M18" i="2" s="1"/>
  <c r="AE18" i="1"/>
  <c r="AC18" i="1"/>
  <c r="AA18" i="1"/>
  <c r="K18" i="2" s="1"/>
  <c r="Y18" i="1"/>
  <c r="I18" i="2" s="1"/>
  <c r="V18" i="1"/>
  <c r="U18" i="1"/>
  <c r="V19" i="1" s="1"/>
  <c r="H19" i="2" s="1"/>
  <c r="S18" i="1"/>
  <c r="H18" i="2" s="1"/>
  <c r="P18" i="1"/>
  <c r="L18" i="1"/>
  <c r="J18" i="1"/>
  <c r="AO18" i="1" s="1"/>
  <c r="N18" i="2" s="1"/>
  <c r="H18" i="1"/>
  <c r="AO17" i="1"/>
  <c r="AN17" i="1"/>
  <c r="Q17" i="1"/>
  <c r="P17" i="1"/>
  <c r="Q18" i="1" s="1"/>
  <c r="G18" i="2" s="1"/>
  <c r="B7" i="2"/>
  <c r="C7" i="2"/>
  <c r="D7" i="2"/>
  <c r="E7" i="2"/>
  <c r="F7" i="2"/>
  <c r="G7" i="2"/>
  <c r="H7" i="2"/>
  <c r="I7" i="2"/>
  <c r="J7" i="2"/>
  <c r="K7" i="2"/>
  <c r="L7" i="2"/>
  <c r="M7" i="2"/>
  <c r="N7" i="2"/>
  <c r="B8" i="2"/>
  <c r="C8" i="2"/>
  <c r="D8" i="2"/>
  <c r="E8" i="2"/>
  <c r="F8" i="2"/>
  <c r="G8" i="2"/>
  <c r="H8" i="2"/>
  <c r="I8" i="2"/>
  <c r="J8" i="2"/>
  <c r="K8" i="2"/>
  <c r="L8" i="2"/>
  <c r="M8" i="2"/>
  <c r="N8" i="2"/>
  <c r="B9" i="2"/>
  <c r="C9" i="2"/>
  <c r="D9" i="2"/>
  <c r="E9" i="2"/>
  <c r="F9" i="2"/>
  <c r="G9" i="2"/>
  <c r="H9" i="2"/>
  <c r="I9" i="2"/>
  <c r="J9" i="2"/>
  <c r="K9" i="2"/>
  <c r="L9" i="2"/>
  <c r="M9" i="2"/>
  <c r="N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B14" i="2"/>
  <c r="C14" i="2"/>
  <c r="E14" i="2"/>
  <c r="F14" i="2"/>
  <c r="G14" i="2"/>
  <c r="H14" i="2"/>
  <c r="I14" i="2"/>
  <c r="J14" i="2"/>
  <c r="K14" i="2"/>
  <c r="L14" i="2"/>
  <c r="M14" i="2"/>
  <c r="B15" i="2"/>
  <c r="C15" i="2"/>
  <c r="E15" i="2"/>
  <c r="F15" i="2"/>
  <c r="I15" i="2"/>
  <c r="J15" i="2"/>
  <c r="K15" i="2"/>
  <c r="L15" i="2"/>
  <c r="B16" i="2"/>
  <c r="C16" i="2"/>
  <c r="D16" i="2"/>
  <c r="E16" i="2"/>
  <c r="F16" i="2"/>
  <c r="H16" i="2"/>
  <c r="J16" i="2"/>
  <c r="L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B18" i="2"/>
  <c r="C18" i="2"/>
  <c r="D18" i="2"/>
  <c r="E18" i="2"/>
  <c r="F18" i="2"/>
  <c r="J18" i="2"/>
  <c r="B19" i="2"/>
  <c r="C19" i="2"/>
  <c r="D19" i="2"/>
  <c r="E19" i="2"/>
  <c r="F19" i="2"/>
  <c r="I19" i="2"/>
  <c r="L19" i="2"/>
  <c r="M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B22" i="2"/>
  <c r="C22" i="2"/>
  <c r="D22" i="2"/>
  <c r="E22" i="2"/>
  <c r="F22" i="2"/>
  <c r="G22" i="2"/>
  <c r="H22" i="2"/>
  <c r="I22" i="2"/>
  <c r="J22" i="2"/>
  <c r="K22" i="2"/>
  <c r="L22" i="2"/>
  <c r="M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B29" i="2"/>
  <c r="C29" i="2"/>
  <c r="D29" i="2"/>
  <c r="E29" i="2"/>
  <c r="F29" i="2"/>
  <c r="G29" i="2"/>
  <c r="H29" i="2"/>
  <c r="I29" i="2"/>
  <c r="J29" i="2"/>
  <c r="K29" i="2"/>
  <c r="L29" i="2"/>
  <c r="M29" i="2"/>
  <c r="B30" i="2"/>
  <c r="C30" i="2"/>
  <c r="D30" i="2"/>
  <c r="E30" i="2"/>
  <c r="F30" i="2"/>
  <c r="G30" i="2"/>
  <c r="H30" i="2"/>
  <c r="J30" i="2"/>
  <c r="K30" i="2"/>
  <c r="L30" i="2"/>
  <c r="B31" i="2"/>
  <c r="C31" i="2"/>
  <c r="D31" i="2"/>
  <c r="E31" i="2"/>
  <c r="F31" i="2"/>
  <c r="G31" i="2"/>
  <c r="H31" i="2"/>
  <c r="J31" i="2"/>
  <c r="K31" i="2"/>
  <c r="L31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AQ46" i="1"/>
  <c r="AN46" i="1"/>
  <c r="AM46" i="1"/>
  <c r="AG46" i="1"/>
  <c r="AE46" i="1"/>
  <c r="AC46" i="1"/>
  <c r="AA46" i="1"/>
  <c r="Y46" i="1"/>
  <c r="V46" i="1"/>
  <c r="S46" i="1"/>
  <c r="P46" i="1"/>
  <c r="L46" i="1"/>
  <c r="J46" i="1"/>
  <c r="AO46" i="1" s="1"/>
  <c r="H46" i="1"/>
  <c r="AQ45" i="1"/>
  <c r="AN45" i="1"/>
  <c r="AM45" i="1"/>
  <c r="AG45" i="1"/>
  <c r="AE45" i="1"/>
  <c r="AC45" i="1"/>
  <c r="AA45" i="1"/>
  <c r="Y45" i="1"/>
  <c r="V45" i="1"/>
  <c r="S45" i="1"/>
  <c r="P45" i="1"/>
  <c r="Q46" i="1" s="1"/>
  <c r="L45" i="1"/>
  <c r="J45" i="1"/>
  <c r="AO45" i="1" s="1"/>
  <c r="H45" i="1"/>
  <c r="AO44" i="1"/>
  <c r="AN44" i="1"/>
  <c r="Q44" i="1"/>
  <c r="P44" i="1"/>
  <c r="Q45" i="1" s="1"/>
  <c r="AQ43" i="1"/>
  <c r="AN43" i="1"/>
  <c r="AG43" i="1"/>
  <c r="AE43" i="1"/>
  <c r="AA43" i="1"/>
  <c r="Y43" i="1"/>
  <c r="V43" i="1"/>
  <c r="S43" i="1"/>
  <c r="P43" i="1"/>
  <c r="L43" i="1"/>
  <c r="J43" i="1"/>
  <c r="H43" i="1"/>
  <c r="AQ42" i="1"/>
  <c r="AN42" i="1"/>
  <c r="AG42" i="1"/>
  <c r="AE42" i="1"/>
  <c r="AA42" i="1"/>
  <c r="Y42" i="1"/>
  <c r="V42" i="1"/>
  <c r="S42" i="1"/>
  <c r="P42" i="1"/>
  <c r="Q43" i="1" s="1"/>
  <c r="L42" i="1"/>
  <c r="J42" i="1"/>
  <c r="AO42" i="1" s="1"/>
  <c r="H42" i="1"/>
  <c r="AO41" i="1"/>
  <c r="AN41" i="1"/>
  <c r="Q41" i="1"/>
  <c r="P41" i="1"/>
  <c r="Q42" i="1" s="1"/>
  <c r="AQ40" i="1"/>
  <c r="AN40" i="1"/>
  <c r="AG40" i="1"/>
  <c r="AE40" i="1"/>
  <c r="AC40" i="1"/>
  <c r="AA40" i="1"/>
  <c r="Y40" i="1"/>
  <c r="V40" i="1"/>
  <c r="S40" i="1"/>
  <c r="Q40" i="1"/>
  <c r="L40" i="1"/>
  <c r="J40" i="1"/>
  <c r="AO40" i="1" s="1"/>
  <c r="H40" i="1"/>
  <c r="AQ39" i="1"/>
  <c r="AN39" i="1"/>
  <c r="AG39" i="1"/>
  <c r="AE39" i="1"/>
  <c r="AC39" i="1"/>
  <c r="AA39" i="1"/>
  <c r="Y39" i="1"/>
  <c r="V39" i="1"/>
  <c r="S39" i="1"/>
  <c r="L39" i="1"/>
  <c r="J39" i="1"/>
  <c r="AO39" i="1" s="1"/>
  <c r="H39" i="1"/>
  <c r="AO38" i="1"/>
  <c r="AN38" i="1"/>
  <c r="Q38" i="1"/>
  <c r="P38" i="1"/>
  <c r="Q39" i="1" s="1"/>
  <c r="G16" i="2" l="1"/>
  <c r="I16" i="2"/>
  <c r="L18" i="2"/>
  <c r="AO43" i="1"/>
  <c r="AQ37" i="1" l="1"/>
  <c r="AQ36" i="1"/>
  <c r="AM37" i="1"/>
  <c r="AM36" i="1"/>
  <c r="AG37" i="1"/>
  <c r="AG36" i="1"/>
  <c r="AE37" i="1"/>
  <c r="AE36" i="1"/>
  <c r="AC37" i="1"/>
  <c r="AC36" i="1"/>
  <c r="Y37" i="1"/>
  <c r="Y36" i="1"/>
  <c r="AA37" i="1"/>
  <c r="AA36" i="1"/>
  <c r="V37" i="1"/>
  <c r="V36" i="1"/>
  <c r="S37" i="1"/>
  <c r="S36" i="1"/>
  <c r="P37" i="1"/>
  <c r="P36" i="1"/>
  <c r="Q37" i="1" s="1"/>
  <c r="P35" i="1"/>
  <c r="Q36" i="1" s="1"/>
  <c r="Q35" i="1"/>
  <c r="L37" i="1"/>
  <c r="L36" i="1"/>
  <c r="J37" i="1"/>
  <c r="J36" i="1"/>
  <c r="H37" i="1"/>
  <c r="H36" i="1"/>
  <c r="AQ34" i="1"/>
  <c r="AQ33" i="1"/>
  <c r="AG34" i="1"/>
  <c r="AG33" i="1"/>
  <c r="AE34" i="1"/>
  <c r="AE33" i="1"/>
  <c r="AC34" i="1"/>
  <c r="AC33" i="1"/>
  <c r="AA34" i="1"/>
  <c r="AA33" i="1"/>
  <c r="V34" i="1"/>
  <c r="V33" i="1"/>
  <c r="S34" i="1"/>
  <c r="S33" i="1"/>
  <c r="P34" i="1"/>
  <c r="P33" i="1"/>
  <c r="Q34" i="1" s="1"/>
  <c r="Q32" i="1"/>
  <c r="P32" i="1"/>
  <c r="Q33" i="1" s="1"/>
  <c r="L34" i="1"/>
  <c r="L33" i="1"/>
  <c r="J34" i="1"/>
  <c r="AO34" i="1" s="1"/>
  <c r="J33" i="1"/>
  <c r="H34" i="1"/>
  <c r="H33" i="1"/>
  <c r="Y34" i="1"/>
  <c r="Y33" i="1"/>
  <c r="AQ31" i="1"/>
  <c r="AQ30" i="1"/>
  <c r="AG31" i="1"/>
  <c r="AG30" i="1"/>
  <c r="AE31" i="1"/>
  <c r="AE30" i="1"/>
  <c r="AC31" i="1"/>
  <c r="AC30" i="1"/>
  <c r="AA31" i="1"/>
  <c r="AA30" i="1"/>
  <c r="Y31" i="1"/>
  <c r="Y30" i="1"/>
  <c r="V31" i="1"/>
  <c r="V30" i="1"/>
  <c r="S31" i="1"/>
  <c r="S30" i="1"/>
  <c r="P31" i="1"/>
  <c r="P30" i="1"/>
  <c r="Q31" i="1" s="1"/>
  <c r="Q29" i="1"/>
  <c r="P29" i="1"/>
  <c r="Q30" i="1" s="1"/>
  <c r="L31" i="1"/>
  <c r="L30" i="1"/>
  <c r="J31" i="1"/>
  <c r="I31" i="2" s="1"/>
  <c r="J30" i="1"/>
  <c r="Y22" i="1"/>
  <c r="Y21" i="1"/>
  <c r="H31" i="1"/>
  <c r="M31" i="2" s="1"/>
  <c r="H30" i="1"/>
  <c r="M30" i="2" s="1"/>
  <c r="AQ28" i="1"/>
  <c r="AQ27" i="1"/>
  <c r="AN29" i="1"/>
  <c r="N29" i="2" s="1"/>
  <c r="AN30" i="1"/>
  <c r="AN31" i="1"/>
  <c r="AN32" i="1"/>
  <c r="AN33" i="1"/>
  <c r="AN34" i="1"/>
  <c r="AN35" i="1"/>
  <c r="AN36" i="1"/>
  <c r="AN37" i="1"/>
  <c r="AO29" i="1"/>
  <c r="AO32" i="1"/>
  <c r="AO35" i="1"/>
  <c r="AO37" i="1"/>
  <c r="AM28" i="1"/>
  <c r="AM27" i="1"/>
  <c r="AG28" i="1"/>
  <c r="AG27" i="1"/>
  <c r="AE28" i="1"/>
  <c r="AE27" i="1"/>
  <c r="AC28" i="1"/>
  <c r="AC27" i="1"/>
  <c r="AA28" i="1"/>
  <c r="AA27" i="1"/>
  <c r="Y28" i="1"/>
  <c r="Y27" i="1"/>
  <c r="V28" i="1"/>
  <c r="V27" i="1"/>
  <c r="S28" i="1"/>
  <c r="S27" i="1"/>
  <c r="P28" i="1"/>
  <c r="P27" i="1"/>
  <c r="Q28" i="1" s="1"/>
  <c r="P26" i="1"/>
  <c r="Q27" i="1" s="1"/>
  <c r="Q26" i="1"/>
  <c r="L28" i="1"/>
  <c r="L27" i="1"/>
  <c r="J28" i="1"/>
  <c r="AO28" i="1" s="1"/>
  <c r="J27" i="1"/>
  <c r="AO27" i="1" s="1"/>
  <c r="H28" i="1"/>
  <c r="H27" i="1"/>
  <c r="AQ25" i="1"/>
  <c r="AQ24" i="1"/>
  <c r="AO23" i="1"/>
  <c r="AO26" i="1"/>
  <c r="AM25" i="1"/>
  <c r="AM24" i="1"/>
  <c r="AG25" i="1"/>
  <c r="AG24" i="1"/>
  <c r="AE25" i="1"/>
  <c r="AE24" i="1"/>
  <c r="AC25" i="1"/>
  <c r="AC24" i="1"/>
  <c r="AA25" i="1"/>
  <c r="AA24" i="1"/>
  <c r="Y25" i="1"/>
  <c r="Y24" i="1"/>
  <c r="V25" i="1"/>
  <c r="V24" i="1"/>
  <c r="S25" i="1"/>
  <c r="S24" i="1"/>
  <c r="P25" i="1"/>
  <c r="P24" i="1"/>
  <c r="Q25" i="1" s="1"/>
  <c r="P23" i="1"/>
  <c r="Q24" i="1" s="1"/>
  <c r="Q23" i="1"/>
  <c r="L25" i="1"/>
  <c r="L24" i="1"/>
  <c r="J25" i="1"/>
  <c r="AO25" i="1" s="1"/>
  <c r="J24" i="1"/>
  <c r="AO24" i="1" s="1"/>
  <c r="H25" i="1"/>
  <c r="H24" i="1"/>
  <c r="AQ22" i="1"/>
  <c r="AQ21" i="1"/>
  <c r="AO20" i="1"/>
  <c r="AN20" i="1"/>
  <c r="AN21" i="1"/>
  <c r="AN22" i="1"/>
  <c r="N22" i="2" s="1"/>
  <c r="AN23" i="1"/>
  <c r="AN24" i="1"/>
  <c r="AN25" i="1"/>
  <c r="AN26" i="1"/>
  <c r="AN27" i="1"/>
  <c r="AN28" i="1"/>
  <c r="AG22" i="1"/>
  <c r="AG21" i="1"/>
  <c r="AE22" i="1"/>
  <c r="AE21" i="1"/>
  <c r="AC22" i="1"/>
  <c r="AC21" i="1"/>
  <c r="AA22" i="1"/>
  <c r="AA21" i="1"/>
  <c r="V22" i="1"/>
  <c r="V21" i="1"/>
  <c r="S22" i="1"/>
  <c r="S21" i="1"/>
  <c r="Q21" i="1"/>
  <c r="P20" i="1"/>
  <c r="Q20" i="1"/>
  <c r="P21" i="1"/>
  <c r="Q22" i="1" s="1"/>
  <c r="P22" i="1"/>
  <c r="J22" i="1"/>
  <c r="AO22" i="1" s="1"/>
  <c r="J21" i="1"/>
  <c r="AO21" i="1" s="1"/>
  <c r="H22" i="1"/>
  <c r="H21" i="1"/>
  <c r="AO31" i="1" l="1"/>
  <c r="N31" i="2" s="1"/>
  <c r="AO30" i="1"/>
  <c r="N30" i="2" s="1"/>
  <c r="I30" i="2"/>
  <c r="AO33" i="1"/>
  <c r="AO36" i="1"/>
  <c r="AN13" i="1"/>
  <c r="AQ13" i="1"/>
  <c r="AQ12" i="1"/>
  <c r="AN12" i="1"/>
  <c r="AG13" i="1"/>
  <c r="AG12" i="1"/>
  <c r="AE13" i="1"/>
  <c r="AE12" i="1"/>
  <c r="AC13" i="1"/>
  <c r="AC12" i="1"/>
  <c r="AA13" i="1"/>
  <c r="AA12" i="1"/>
  <c r="Y13" i="1"/>
  <c r="Y12" i="1"/>
  <c r="V13" i="1"/>
  <c r="V12" i="1"/>
  <c r="S13" i="1"/>
  <c r="S12" i="1"/>
  <c r="P12" i="1"/>
  <c r="Q13" i="1" s="1"/>
  <c r="Q11" i="1"/>
  <c r="P11" i="1"/>
  <c r="Q12" i="1" s="1"/>
  <c r="P13" i="1"/>
  <c r="AO11" i="1"/>
  <c r="AN11" i="1"/>
  <c r="L13" i="1"/>
  <c r="L12" i="1"/>
  <c r="J13" i="1"/>
  <c r="J12" i="1"/>
  <c r="H13" i="1"/>
  <c r="H12" i="1"/>
  <c r="AQ10" i="1"/>
  <c r="AQ9" i="1"/>
  <c r="AN9" i="1"/>
  <c r="AN10" i="1"/>
  <c r="Q8" i="1"/>
  <c r="P8" i="1"/>
  <c r="Q9" i="1" s="1"/>
  <c r="P10" i="1"/>
  <c r="AO13" i="1" l="1"/>
  <c r="AO12" i="1"/>
  <c r="AG10" i="1"/>
  <c r="AG9" i="1"/>
  <c r="AE10" i="1"/>
  <c r="AE9" i="1"/>
  <c r="AC10" i="1"/>
  <c r="AC9" i="1"/>
  <c r="AA10" i="1"/>
  <c r="AA9" i="1"/>
  <c r="Y10" i="1"/>
  <c r="Y9" i="1"/>
  <c r="V10" i="1"/>
  <c r="V9" i="1"/>
  <c r="S10" i="1"/>
  <c r="S9" i="1"/>
  <c r="P9" i="1"/>
  <c r="Q10" i="1" s="1"/>
  <c r="L10" i="1"/>
  <c r="L9" i="1"/>
  <c r="J10" i="1"/>
  <c r="J9" i="1"/>
  <c r="H10" i="1"/>
  <c r="H9" i="1"/>
  <c r="AQ7" i="1"/>
  <c r="AQ6" i="1"/>
  <c r="AO8" i="1"/>
  <c r="AN7" i="1"/>
  <c r="AN8" i="1"/>
  <c r="B6" i="2"/>
  <c r="C6" i="2"/>
  <c r="D6" i="2"/>
  <c r="E6" i="2"/>
  <c r="F6" i="2"/>
  <c r="AN6" i="1"/>
  <c r="AG7" i="1"/>
  <c r="AG6" i="1"/>
  <c r="AE7" i="1"/>
  <c r="AE6" i="1"/>
  <c r="AC7" i="1"/>
  <c r="AC6" i="1"/>
  <c r="AA7" i="1"/>
  <c r="AA6" i="1"/>
  <c r="Y7" i="1"/>
  <c r="Y6" i="1"/>
  <c r="V7" i="1"/>
  <c r="V6" i="1"/>
  <c r="S7" i="1"/>
  <c r="S6" i="1"/>
  <c r="J6" i="2" s="1"/>
  <c r="P6" i="1"/>
  <c r="P7" i="1"/>
  <c r="L7" i="1"/>
  <c r="L6" i="1"/>
  <c r="J7" i="1"/>
  <c r="J6" i="1"/>
  <c r="H7" i="1"/>
  <c r="H6" i="1"/>
  <c r="D5" i="2"/>
  <c r="I5" i="2"/>
  <c r="H5" i="2"/>
  <c r="C3" i="2"/>
  <c r="E3" i="2"/>
  <c r="F3" i="2"/>
  <c r="C4" i="2"/>
  <c r="E4" i="2"/>
  <c r="F4" i="2"/>
  <c r="C5" i="2"/>
  <c r="E5" i="2"/>
  <c r="F5" i="2"/>
  <c r="J5" i="2"/>
  <c r="K5" i="2"/>
  <c r="L5" i="2"/>
  <c r="M5" i="2"/>
  <c r="B3" i="2"/>
  <c r="B4" i="2"/>
  <c r="B5" i="2"/>
  <c r="AO5" i="1"/>
  <c r="AN5" i="1"/>
  <c r="G2" i="2"/>
  <c r="H2" i="2"/>
  <c r="Q5" i="1"/>
  <c r="P5" i="1"/>
  <c r="Q6" i="1" s="1"/>
  <c r="AQ4" i="1"/>
  <c r="AQ3" i="1"/>
  <c r="AN3" i="1"/>
  <c r="AN4" i="1"/>
  <c r="AM4" i="1"/>
  <c r="AM3" i="1"/>
  <c r="AK4" i="1"/>
  <c r="D4" i="2" s="1"/>
  <c r="AK3" i="1"/>
  <c r="D3" i="2" s="1"/>
  <c r="AG4" i="1"/>
  <c r="AG3" i="1"/>
  <c r="AE4" i="1"/>
  <c r="AE3" i="1"/>
  <c r="AC4" i="1"/>
  <c r="AC3" i="1"/>
  <c r="AA4" i="1"/>
  <c r="AA3" i="1"/>
  <c r="Y4" i="1"/>
  <c r="Y3" i="1"/>
  <c r="W3" i="1"/>
  <c r="V4" i="1"/>
  <c r="V3" i="1"/>
  <c r="W4" i="1" s="1"/>
  <c r="S4" i="1"/>
  <c r="S3" i="1"/>
  <c r="Q4" i="1"/>
  <c r="Q3" i="1"/>
  <c r="L4" i="1"/>
  <c r="L3" i="1"/>
  <c r="AO2" i="1"/>
  <c r="AN2" i="1"/>
  <c r="M2" i="2"/>
  <c r="L2" i="2"/>
  <c r="K2" i="2"/>
  <c r="J2" i="2"/>
  <c r="F2" i="2"/>
  <c r="E2" i="2"/>
  <c r="D2" i="2"/>
  <c r="C2" i="2"/>
  <c r="B2" i="2"/>
  <c r="H3" i="2" l="1"/>
  <c r="G4" i="2"/>
  <c r="AO7" i="1"/>
  <c r="AO9" i="1"/>
  <c r="K3" i="2"/>
  <c r="K4" i="2"/>
  <c r="L4" i="2"/>
  <c r="M6" i="2"/>
  <c r="L6" i="2"/>
  <c r="AO6" i="1"/>
  <c r="N6" i="2" s="1"/>
  <c r="K6" i="2"/>
  <c r="G6" i="2"/>
  <c r="N5" i="2"/>
  <c r="H4" i="2"/>
  <c r="L3" i="2"/>
  <c r="H6" i="2"/>
  <c r="AO10" i="1"/>
  <c r="G5" i="2"/>
  <c r="I6" i="2"/>
  <c r="G3" i="2"/>
  <c r="Q7" i="1"/>
  <c r="J3" i="2"/>
  <c r="J4" i="2"/>
  <c r="N2" i="2"/>
  <c r="J4" i="1"/>
  <c r="J3" i="1"/>
  <c r="H4" i="1"/>
  <c r="M4" i="2" s="1"/>
  <c r="H3" i="1"/>
  <c r="M3" i="2" s="1"/>
  <c r="I3" i="2" l="1"/>
  <c r="AO4" i="1"/>
  <c r="N4" i="2" s="1"/>
  <c r="I4" i="2"/>
  <c r="I2" i="2"/>
  <c r="AO3" i="1"/>
  <c r="N3" i="2" s="1"/>
</calcChain>
</file>

<file path=xl/sharedStrings.xml><?xml version="1.0" encoding="utf-8"?>
<sst xmlns="http://schemas.openxmlformats.org/spreadsheetml/2006/main" count="108" uniqueCount="97">
  <si>
    <t>No</t>
  </si>
  <si>
    <t>Code</t>
  </si>
  <si>
    <t>Nama</t>
  </si>
  <si>
    <t>Tahun</t>
  </si>
  <si>
    <t>Laba bersih setelah pajak</t>
  </si>
  <si>
    <t>Total Hutang</t>
  </si>
  <si>
    <t>CINT</t>
  </si>
  <si>
    <t>Chitose Internasional Tbk.</t>
  </si>
  <si>
    <t>ICBP</t>
  </si>
  <si>
    <t>INDF</t>
  </si>
  <si>
    <t>Indofood Sukses Makmur Tbk.</t>
  </si>
  <si>
    <t>KINO</t>
  </si>
  <si>
    <t>Kino Indonesia Tbk.</t>
  </si>
  <si>
    <t>MLBI</t>
  </si>
  <si>
    <t>Multi Bintang Indonesia Tbk.</t>
  </si>
  <si>
    <t>SIDO</t>
  </si>
  <si>
    <t>Industri Jamu dan Farmasi Sido</t>
  </si>
  <si>
    <t>TBLA</t>
  </si>
  <si>
    <t>Tunas Baru Lampung Tbk.</t>
  </si>
  <si>
    <t>TCID</t>
  </si>
  <si>
    <t>Mandom Indonesia Tbk.</t>
  </si>
  <si>
    <t>TSPC</t>
  </si>
  <si>
    <t>Tempo Scan Pacific Tbk.</t>
  </si>
  <si>
    <t>ULTJ</t>
  </si>
  <si>
    <t>Jumlah Komisaris Independen</t>
  </si>
  <si>
    <t>Jumlah Anggota Komisaris</t>
  </si>
  <si>
    <t>Indofood CBP Sukses Makmur</t>
  </si>
  <si>
    <t xml:space="preserve">Ultra Jaya Milk Industry </t>
  </si>
  <si>
    <t>LABA KOTOR</t>
  </si>
  <si>
    <t>ASET TIDAK LANCAR</t>
  </si>
  <si>
    <t>SATUAN</t>
  </si>
  <si>
    <t>ADES</t>
  </si>
  <si>
    <t>Akasha Wira International Tbk.</t>
  </si>
  <si>
    <t>CEKA</t>
  </si>
  <si>
    <t>Wilmar Cahaya Indonesia Tbk</t>
  </si>
  <si>
    <t>DLTA</t>
  </si>
  <si>
    <t>Delta Djakarta Tbk</t>
  </si>
  <si>
    <t>DVLA</t>
  </si>
  <si>
    <t>Darya-Varia Laboratoria Tbk</t>
  </si>
  <si>
    <t>HMSP</t>
  </si>
  <si>
    <t>H.M. Sampoerna Tbk.</t>
  </si>
  <si>
    <t>TOTAL PENJUALAN t-1</t>
  </si>
  <si>
    <t>TOTAL PENJUALAN t</t>
  </si>
  <si>
    <t>Aset Lancar t</t>
  </si>
  <si>
    <t>Aset Lancar t-1</t>
  </si>
  <si>
    <t xml:space="preserve"> DEPRESIASI t</t>
  </si>
  <si>
    <t xml:space="preserve"> DEPRESIASI t-1</t>
  </si>
  <si>
    <t>BIAYA ADMINISTRASI PENJUALAN t</t>
  </si>
  <si>
    <t>BIAYA ADMINISTRASI PENJUALAN t-1</t>
  </si>
  <si>
    <t>Hutang jgk panjang t</t>
  </si>
  <si>
    <t>Hutang jgk panjang t-1</t>
  </si>
  <si>
    <t>Hutang lancar t</t>
  </si>
  <si>
    <t>Hutang lancar t-1</t>
  </si>
  <si>
    <t>Total Aset t</t>
  </si>
  <si>
    <t>Total Aset t-1</t>
  </si>
  <si>
    <t>Perubahan direksi</t>
  </si>
  <si>
    <t>Direksi individu</t>
  </si>
  <si>
    <t>ROA</t>
  </si>
  <si>
    <t>NO</t>
  </si>
  <si>
    <t>BDOUT</t>
  </si>
  <si>
    <t>Tata</t>
  </si>
  <si>
    <t>Pendapatan Operasional</t>
  </si>
  <si>
    <t>Arus Kas Operasional</t>
  </si>
  <si>
    <t>Kompetensi</t>
  </si>
  <si>
    <t>Arogansi</t>
  </si>
  <si>
    <t>DSRI</t>
  </si>
  <si>
    <t>PIUTANG t</t>
  </si>
  <si>
    <t>PIUTANG t-1</t>
  </si>
  <si>
    <t>HPP t</t>
  </si>
  <si>
    <t>HPP t-1</t>
  </si>
  <si>
    <t>GMI</t>
  </si>
  <si>
    <t>AQI</t>
  </si>
  <si>
    <t>ASET TETAP t-1</t>
  </si>
  <si>
    <t>SGI</t>
  </si>
  <si>
    <t>DEPI</t>
  </si>
  <si>
    <t>SGAI</t>
  </si>
  <si>
    <t>LVGI</t>
  </si>
  <si>
    <t>Piutang Pajak t</t>
  </si>
  <si>
    <t>Piutang Pajak t-1</t>
  </si>
  <si>
    <t>Modal Kerja t</t>
  </si>
  <si>
    <t>Modal Kerja t-1</t>
  </si>
  <si>
    <t>Kewajiban Lancar t-1</t>
  </si>
  <si>
    <t>Kewajiban Lancar t</t>
  </si>
  <si>
    <t>Kas t</t>
  </si>
  <si>
    <t>Kas t-1</t>
  </si>
  <si>
    <t>TATA</t>
  </si>
  <si>
    <t>JUTAAN</t>
  </si>
  <si>
    <t xml:space="preserve"> Jutaan Rupiah</t>
  </si>
  <si>
    <t>ASET TETAP t</t>
  </si>
  <si>
    <t>RUPIAH</t>
  </si>
  <si>
    <t>RIBUAN</t>
  </si>
  <si>
    <t>Tekanan (X1)</t>
  </si>
  <si>
    <t>Peluang (X2)</t>
  </si>
  <si>
    <t>Rasionalisasi (X3)</t>
  </si>
  <si>
    <t>Kompetensi (X4)</t>
  </si>
  <si>
    <t>Arogansi (X5)</t>
  </si>
  <si>
    <t>Beneish M-Score 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</si>
</sst>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64" formatCode="_(* #,##0.00_);_(* \(#,##0.00\);_(* &quot;-&quot;??_);_(@_)"/>
    <numFmt numFmtId="165" formatCode="_-* #,##0.000_-;\-* #,##0.000_-;_-* &quot;-&quot;_-;_-@_-"/>
    <numFmt numFmtId="166" formatCode="#,##0.000"/>
    <numFmt numFmtId="167" formatCode="_-* #,##0.00000000_-;\-* #,##0.00000000_-;_-* &quot;-&quot;_-;_-@_-"/>
    <numFmt numFmtId="168" formatCode="_-* #,##0.0000000000_-;\-* #,##0.0000000000_-;_-* &quot;-&quot;_-;_-@_-"/>
    <numFmt numFmtId="169" formatCode="0.000000000"/>
    <numFmt numFmtId="170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/>
    <xf numFmtId="165" fontId="0" fillId="0" borderId="0" xfId="0" applyNumberFormat="1"/>
    <xf numFmtId="166" fontId="0" fillId="0" borderId="0" xfId="0" applyNumberFormat="1"/>
    <xf numFmtId="167" fontId="0" fillId="0" borderId="0" xfId="1" applyNumberFormat="1" applyFont="1"/>
    <xf numFmtId="168" fontId="0" fillId="0" borderId="0" xfId="1" applyNumberFormat="1" applyFont="1"/>
    <xf numFmtId="2" fontId="0" fillId="0" borderId="0" xfId="0" applyNumberFormat="1"/>
    <xf numFmtId="169" fontId="0" fillId="0" borderId="0" xfId="0" applyNumberFormat="1"/>
    <xf numFmtId="170" fontId="0" fillId="0" borderId="0" xfId="0" applyNumberFormat="1"/>
    <xf numFmtId="41" fontId="5" fillId="0" borderId="1" xfId="1" applyFont="1" applyFill="1" applyBorder="1"/>
    <xf numFmtId="41" fontId="0" fillId="0" borderId="1" xfId="1" applyFont="1" applyFill="1" applyBorder="1"/>
    <xf numFmtId="3" fontId="0" fillId="0" borderId="1" xfId="0" applyNumberFormat="1" applyFont="1" applyFill="1" applyBorder="1"/>
    <xf numFmtId="0" fontId="0" fillId="0" borderId="1" xfId="0" applyFont="1" applyFill="1" applyBorder="1"/>
    <xf numFmtId="41" fontId="0" fillId="0" borderId="1" xfId="0" applyNumberFormat="1" applyFont="1" applyFill="1" applyBorder="1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1" fontId="3" fillId="0" borderId="1" xfId="1" applyFont="1" applyFill="1" applyBorder="1" applyAlignment="1">
      <alignment horizontal="center" vertical="center"/>
    </xf>
    <xf numFmtId="41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3" fontId="5" fillId="0" borderId="1" xfId="1" applyNumberFormat="1" applyFont="1" applyFill="1" applyBorder="1"/>
    <xf numFmtId="3" fontId="0" fillId="0" borderId="1" xfId="1" applyNumberFormat="1" applyFont="1" applyFill="1" applyBorder="1"/>
    <xf numFmtId="0" fontId="0" fillId="0" borderId="0" xfId="0" applyFont="1" applyFill="1" applyBorder="1"/>
    <xf numFmtId="3" fontId="0" fillId="0" borderId="1" xfId="0" applyNumberFormat="1" applyFont="1" applyFill="1" applyBorder="1" applyAlignment="1">
      <alignment wrapText="1"/>
    </xf>
    <xf numFmtId="3" fontId="0" fillId="0" borderId="1" xfId="2" applyNumberFormat="1" applyFont="1" applyFill="1" applyBorder="1"/>
    <xf numFmtId="41" fontId="5" fillId="0" borderId="0" xfId="1" applyFont="1" applyFill="1" applyBorder="1"/>
    <xf numFmtId="41" fontId="0" fillId="0" borderId="0" xfId="1" applyFont="1" applyFill="1" applyBorder="1"/>
    <xf numFmtId="0" fontId="4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0" fontId="0" fillId="0" borderId="0" xfId="0" applyNumberFormat="1" applyAlignment="1">
      <alignment vertical="center"/>
    </xf>
  </cellXfs>
  <cellStyles count="3">
    <cellStyle name="Comma" xfId="2" builtinId="3"/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8"/>
  <sheetViews>
    <sheetView zoomScale="85" zoomScaleNormal="85" workbookViewId="0">
      <pane xSplit="3" ySplit="1" topLeftCell="D44" activePane="bottomRight" state="frozen"/>
      <selection pane="topRight" activeCell="D1" sqref="D1"/>
      <selection pane="bottomLeft" activeCell="A2" sqref="A2"/>
      <selection pane="bottomRight" activeCell="AS22" sqref="AS22"/>
    </sheetView>
  </sheetViews>
  <sheetFormatPr defaultRowHeight="15" x14ac:dyDescent="0.25"/>
  <cols>
    <col min="1" max="1" width="9.140625" style="26"/>
    <col min="2" max="2" width="12.28515625" style="26" customWidth="1"/>
    <col min="3" max="3" width="16.7109375" style="26" customWidth="1"/>
    <col min="4" max="4" width="11.85546875" style="26" customWidth="1"/>
    <col min="5" max="5" width="9.140625" style="26"/>
    <col min="6" max="6" width="24.7109375" style="29" customWidth="1"/>
    <col min="7" max="7" width="24.140625" style="30" customWidth="1"/>
    <col min="8" max="8" width="22.5703125" style="26" customWidth="1"/>
    <col min="9" max="9" width="21.7109375" style="30" customWidth="1"/>
    <col min="10" max="10" width="22" style="30" customWidth="1"/>
    <col min="11" max="11" width="31.28515625" style="30" customWidth="1"/>
    <col min="12" max="12" width="22.42578125" style="26" customWidth="1"/>
    <col min="13" max="13" width="27" style="30" customWidth="1"/>
    <col min="14" max="14" width="25.28515625" style="30" customWidth="1"/>
    <col min="15" max="15" width="24.140625" style="26" customWidth="1"/>
    <col min="16" max="16" width="24.42578125" style="26" customWidth="1"/>
    <col min="17" max="17" width="23" style="26" customWidth="1"/>
    <col min="18" max="18" width="22.85546875" style="26" customWidth="1"/>
    <col min="19" max="19" width="20.140625" style="26" customWidth="1"/>
    <col min="20" max="21" width="19.7109375" style="26" customWidth="1"/>
    <col min="22" max="22" width="20" style="26" customWidth="1"/>
    <col min="23" max="23" width="19.7109375" style="26" customWidth="1"/>
    <col min="24" max="24" width="19.85546875" style="26" customWidth="1"/>
    <col min="25" max="25" width="20.28515625" style="26" customWidth="1"/>
    <col min="26" max="26" width="19.42578125" style="26" customWidth="1"/>
    <col min="27" max="27" width="19.140625" style="26" customWidth="1"/>
    <col min="28" max="28" width="17.7109375" style="26" customWidth="1"/>
    <col min="29" max="29" width="17.85546875" style="26" customWidth="1"/>
    <col min="30" max="30" width="20.140625" style="26" customWidth="1"/>
    <col min="31" max="31" width="21.5703125" style="26" customWidth="1"/>
    <col min="32" max="32" width="20.42578125" style="26" customWidth="1"/>
    <col min="33" max="33" width="20" style="26" customWidth="1"/>
    <col min="34" max="34" width="23.28515625" style="26" customWidth="1"/>
    <col min="35" max="35" width="21.28515625" style="26" customWidth="1"/>
    <col min="36" max="36" width="25.42578125" style="26" customWidth="1"/>
    <col min="37" max="37" width="22.85546875" style="26" customWidth="1"/>
    <col min="38" max="38" width="17.7109375" style="26" customWidth="1"/>
    <col min="39" max="39" width="18" style="26" customWidth="1"/>
    <col min="40" max="40" width="19.42578125" style="26" customWidth="1"/>
    <col min="41" max="41" width="19" style="26" customWidth="1"/>
    <col min="42" max="42" width="21" style="26" customWidth="1"/>
    <col min="43" max="43" width="20.28515625" style="26" customWidth="1"/>
    <col min="44" max="16384" width="9.140625" style="26"/>
  </cols>
  <sheetData>
    <row r="1" spans="1:43" s="21" customFormat="1" ht="30.75" customHeight="1" x14ac:dyDescent="0.25">
      <c r="A1" s="14" t="s">
        <v>0</v>
      </c>
      <c r="B1" s="15" t="s">
        <v>1</v>
      </c>
      <c r="C1" s="14" t="s">
        <v>2</v>
      </c>
      <c r="D1" s="16" t="s">
        <v>3</v>
      </c>
      <c r="E1" s="17" t="s">
        <v>30</v>
      </c>
      <c r="F1" s="18" t="s">
        <v>4</v>
      </c>
      <c r="G1" s="18" t="s">
        <v>53</v>
      </c>
      <c r="H1" s="17" t="s">
        <v>54</v>
      </c>
      <c r="I1" s="18" t="s">
        <v>43</v>
      </c>
      <c r="J1" s="18" t="s">
        <v>44</v>
      </c>
      <c r="K1" s="18" t="s">
        <v>82</v>
      </c>
      <c r="L1" s="18" t="s">
        <v>81</v>
      </c>
      <c r="M1" s="18" t="s">
        <v>5</v>
      </c>
      <c r="N1" s="19" t="s">
        <v>24</v>
      </c>
      <c r="O1" s="17" t="s">
        <v>25</v>
      </c>
      <c r="P1" s="17" t="s">
        <v>66</v>
      </c>
      <c r="Q1" s="17" t="s">
        <v>67</v>
      </c>
      <c r="R1" s="17" t="s">
        <v>42</v>
      </c>
      <c r="S1" s="17" t="s">
        <v>41</v>
      </c>
      <c r="T1" s="17" t="s">
        <v>28</v>
      </c>
      <c r="U1" s="17" t="s">
        <v>68</v>
      </c>
      <c r="V1" s="17" t="s">
        <v>69</v>
      </c>
      <c r="W1" s="17" t="s">
        <v>29</v>
      </c>
      <c r="X1" s="17" t="s">
        <v>88</v>
      </c>
      <c r="Y1" s="17" t="s">
        <v>72</v>
      </c>
      <c r="Z1" s="17" t="s">
        <v>45</v>
      </c>
      <c r="AA1" s="17" t="s">
        <v>46</v>
      </c>
      <c r="AB1" s="20" t="s">
        <v>47</v>
      </c>
      <c r="AC1" s="17" t="s">
        <v>48</v>
      </c>
      <c r="AD1" s="17" t="s">
        <v>49</v>
      </c>
      <c r="AE1" s="17" t="s">
        <v>50</v>
      </c>
      <c r="AF1" s="17" t="s">
        <v>51</v>
      </c>
      <c r="AG1" s="17" t="s">
        <v>52</v>
      </c>
      <c r="AH1" s="17" t="s">
        <v>55</v>
      </c>
      <c r="AI1" s="17" t="s">
        <v>56</v>
      </c>
      <c r="AJ1" s="17" t="s">
        <v>61</v>
      </c>
      <c r="AK1" s="17" t="s">
        <v>62</v>
      </c>
      <c r="AL1" s="17" t="s">
        <v>77</v>
      </c>
      <c r="AM1" s="17" t="s">
        <v>78</v>
      </c>
      <c r="AN1" s="17" t="s">
        <v>79</v>
      </c>
      <c r="AO1" s="17" t="s">
        <v>80</v>
      </c>
      <c r="AP1" s="17" t="s">
        <v>83</v>
      </c>
      <c r="AQ1" s="17" t="s">
        <v>84</v>
      </c>
    </row>
    <row r="2" spans="1:43" ht="15" customHeight="1" x14ac:dyDescent="0.25">
      <c r="A2" s="22">
        <v>1</v>
      </c>
      <c r="B2" s="22" t="s">
        <v>6</v>
      </c>
      <c r="C2" s="23" t="s">
        <v>7</v>
      </c>
      <c r="D2" s="12">
        <v>2017</v>
      </c>
      <c r="E2" s="12"/>
      <c r="F2" s="24">
        <v>29648261092</v>
      </c>
      <c r="G2" s="25">
        <v>476577841605</v>
      </c>
      <c r="H2" s="11">
        <v>399336626636</v>
      </c>
      <c r="I2" s="11">
        <v>210584866561</v>
      </c>
      <c r="J2" s="11">
        <v>194043712489</v>
      </c>
      <c r="K2" s="11">
        <v>66014779104</v>
      </c>
      <c r="L2" s="11">
        <v>61704877495</v>
      </c>
      <c r="M2" s="25">
        <v>94304081659</v>
      </c>
      <c r="N2" s="11">
        <v>1</v>
      </c>
      <c r="O2" s="11">
        <v>2</v>
      </c>
      <c r="P2" s="11">
        <v>37802302981</v>
      </c>
      <c r="Q2" s="11">
        <v>44269993518</v>
      </c>
      <c r="R2" s="11">
        <v>373955852243</v>
      </c>
      <c r="S2" s="11">
        <v>327426146630</v>
      </c>
      <c r="T2" s="11">
        <v>125203516697</v>
      </c>
      <c r="U2" s="11">
        <v>248752335546</v>
      </c>
      <c r="V2" s="11">
        <v>230796313016</v>
      </c>
      <c r="W2" s="11">
        <v>265992975044</v>
      </c>
      <c r="X2" s="11">
        <v>234751563051</v>
      </c>
      <c r="Y2" s="11">
        <v>181812363868</v>
      </c>
      <c r="Z2" s="11">
        <v>40649971131</v>
      </c>
      <c r="AA2" s="11">
        <v>33604590217</v>
      </c>
      <c r="AB2" s="11">
        <v>57253800531</v>
      </c>
      <c r="AC2" s="11">
        <v>47872495644</v>
      </c>
      <c r="AD2" s="11">
        <v>28289302555</v>
      </c>
      <c r="AE2" s="11">
        <v>11201910185</v>
      </c>
      <c r="AF2" s="11">
        <v>66014779104</v>
      </c>
      <c r="AG2" s="11">
        <v>61704877495</v>
      </c>
      <c r="AH2" s="11">
        <v>1</v>
      </c>
      <c r="AI2" s="11">
        <v>1</v>
      </c>
      <c r="AJ2" s="11">
        <v>381651936938</v>
      </c>
      <c r="AK2" s="11">
        <v>33220121814</v>
      </c>
      <c r="AL2" s="11">
        <v>-196486608</v>
      </c>
      <c r="AM2" s="11">
        <v>1659534102</v>
      </c>
      <c r="AN2" s="11">
        <f>I2-K2</f>
        <v>144570087457</v>
      </c>
      <c r="AO2" s="11">
        <f>J2-L2</f>
        <v>132338834994</v>
      </c>
      <c r="AP2" s="11">
        <v>73754361818</v>
      </c>
      <c r="AQ2" s="11">
        <v>61342994796</v>
      </c>
    </row>
    <row r="3" spans="1:43" ht="15" customHeight="1" x14ac:dyDescent="0.25">
      <c r="A3" s="22"/>
      <c r="B3" s="22"/>
      <c r="C3" s="23"/>
      <c r="D3" s="12">
        <v>2018</v>
      </c>
      <c r="E3" s="12"/>
      <c r="F3" s="24">
        <v>13554152161</v>
      </c>
      <c r="G3" s="25">
        <v>491382035136</v>
      </c>
      <c r="H3" s="11">
        <f>G2</f>
        <v>476577841605</v>
      </c>
      <c r="I3" s="25">
        <v>219577845340</v>
      </c>
      <c r="J3" s="25">
        <f>I2</f>
        <v>210584866561</v>
      </c>
      <c r="K3" s="25">
        <v>81075913501</v>
      </c>
      <c r="L3" s="11">
        <f>K2</f>
        <v>66014779104</v>
      </c>
      <c r="M3" s="25">
        <v>102703457308</v>
      </c>
      <c r="N3" s="25">
        <v>1</v>
      </c>
      <c r="O3" s="25">
        <v>2</v>
      </c>
      <c r="P3" s="11">
        <v>42307921259</v>
      </c>
      <c r="Q3" s="11">
        <f>P2</f>
        <v>37802302981</v>
      </c>
      <c r="R3" s="11">
        <v>370390736433</v>
      </c>
      <c r="S3" s="11">
        <f>R2</f>
        <v>373955852243</v>
      </c>
      <c r="T3" s="11">
        <v>119591245224</v>
      </c>
      <c r="U3" s="11">
        <v>256947701878</v>
      </c>
      <c r="V3" s="11">
        <f>U2</f>
        <v>248752335546</v>
      </c>
      <c r="W3" s="11">
        <f>V2</f>
        <v>230796313016</v>
      </c>
      <c r="X3" s="11">
        <v>256898006885</v>
      </c>
      <c r="Y3" s="11">
        <f>X2</f>
        <v>234751563051</v>
      </c>
      <c r="Z3" s="11">
        <v>51285698032</v>
      </c>
      <c r="AA3" s="11">
        <f>Z2</f>
        <v>40649971131</v>
      </c>
      <c r="AB3" s="11">
        <v>58584770961</v>
      </c>
      <c r="AC3" s="11">
        <f>AB2</f>
        <v>57253800531</v>
      </c>
      <c r="AD3" s="11">
        <v>21627543807</v>
      </c>
      <c r="AE3" s="11">
        <f>AD2</f>
        <v>28289302555</v>
      </c>
      <c r="AF3" s="11">
        <v>81075913501</v>
      </c>
      <c r="AG3" s="11">
        <f>AF2</f>
        <v>66014779104</v>
      </c>
      <c r="AH3" s="11">
        <v>0</v>
      </c>
      <c r="AI3" s="11">
        <v>1</v>
      </c>
      <c r="AJ3" s="11">
        <v>408555300883</v>
      </c>
      <c r="AK3" s="11">
        <f>AJ2</f>
        <v>381651936938</v>
      </c>
      <c r="AL3" s="11">
        <v>-1982530593</v>
      </c>
      <c r="AM3" s="11">
        <f>AL2</f>
        <v>-196486608</v>
      </c>
      <c r="AN3" s="11">
        <f t="shared" ref="AN3:AN8" si="0">I3-K3</f>
        <v>138501931839</v>
      </c>
      <c r="AO3" s="11">
        <f t="shared" ref="AO3:AO8" si="1">J3-L3</f>
        <v>144570087457</v>
      </c>
      <c r="AP3" s="11">
        <v>38769273576</v>
      </c>
      <c r="AQ3" s="11">
        <f>AP2</f>
        <v>73754361818</v>
      </c>
    </row>
    <row r="4" spans="1:43" ht="15.75" customHeight="1" x14ac:dyDescent="0.25">
      <c r="A4" s="22"/>
      <c r="B4" s="22"/>
      <c r="C4" s="23"/>
      <c r="D4" s="12">
        <v>2019</v>
      </c>
      <c r="E4" s="12"/>
      <c r="F4" s="24">
        <v>7221065916</v>
      </c>
      <c r="G4" s="25">
        <v>521493784876</v>
      </c>
      <c r="H4" s="11">
        <f>G3</f>
        <v>491382035136</v>
      </c>
      <c r="I4" s="25">
        <v>250724734274</v>
      </c>
      <c r="J4" s="25">
        <f>I3</f>
        <v>219577845340</v>
      </c>
      <c r="K4" s="25">
        <v>105476752401</v>
      </c>
      <c r="L4" s="11">
        <f>K3</f>
        <v>81075913501</v>
      </c>
      <c r="M4" s="25">
        <v>131822380207</v>
      </c>
      <c r="N4" s="25">
        <v>1</v>
      </c>
      <c r="O4" s="25">
        <v>2</v>
      </c>
      <c r="P4" s="11">
        <v>47891019641</v>
      </c>
      <c r="Q4" s="11">
        <f>P3</f>
        <v>42307921259</v>
      </c>
      <c r="R4" s="11">
        <v>411783279013</v>
      </c>
      <c r="S4" s="11">
        <f>R3</f>
        <v>370390736433</v>
      </c>
      <c r="T4" s="11">
        <v>113443034555</v>
      </c>
      <c r="U4" s="11">
        <v>292192033789</v>
      </c>
      <c r="V4" s="11">
        <f>U3</f>
        <v>256947701878</v>
      </c>
      <c r="W4" s="11">
        <f>V3</f>
        <v>248752335546</v>
      </c>
      <c r="X4" s="11">
        <v>249614390323</v>
      </c>
      <c r="Y4" s="11">
        <f>X3</f>
        <v>256898006885</v>
      </c>
      <c r="Z4" s="11">
        <v>62991404784</v>
      </c>
      <c r="AA4" s="11">
        <f>Z3</f>
        <v>51285698032</v>
      </c>
      <c r="AB4" s="11">
        <v>60822934424</v>
      </c>
      <c r="AC4" s="11">
        <f>AB3</f>
        <v>58584770961</v>
      </c>
      <c r="AD4" s="11">
        <v>26345627806</v>
      </c>
      <c r="AE4" s="11">
        <f>AD3</f>
        <v>21627543807</v>
      </c>
      <c r="AF4" s="11">
        <v>105476752401</v>
      </c>
      <c r="AG4" s="11">
        <f>AF3</f>
        <v>81075913501</v>
      </c>
      <c r="AH4" s="11">
        <v>0</v>
      </c>
      <c r="AI4" s="11">
        <v>1</v>
      </c>
      <c r="AJ4" s="11">
        <v>408555300883</v>
      </c>
      <c r="AK4" s="11">
        <f>AJ3</f>
        <v>408555300883</v>
      </c>
      <c r="AL4" s="11">
        <v>-2938669888</v>
      </c>
      <c r="AM4" s="11">
        <f>AL3</f>
        <v>-1982530593</v>
      </c>
      <c r="AN4" s="11">
        <f t="shared" si="0"/>
        <v>145247981873</v>
      </c>
      <c r="AO4" s="11">
        <f t="shared" si="1"/>
        <v>138501931839</v>
      </c>
      <c r="AP4" s="11">
        <v>44701754622</v>
      </c>
      <c r="AQ4" s="11">
        <f>AP3</f>
        <v>38769273576</v>
      </c>
    </row>
    <row r="5" spans="1:43" ht="15" customHeight="1" x14ac:dyDescent="0.25">
      <c r="A5" s="22">
        <v>2</v>
      </c>
      <c r="B5" s="22" t="s">
        <v>9</v>
      </c>
      <c r="C5" s="23" t="s">
        <v>10</v>
      </c>
      <c r="D5" s="12">
        <v>2017</v>
      </c>
      <c r="E5" s="12" t="s">
        <v>86</v>
      </c>
      <c r="F5" s="24">
        <v>5145063</v>
      </c>
      <c r="G5" s="25">
        <v>87939488</v>
      </c>
      <c r="H5" s="11">
        <v>82174515</v>
      </c>
      <c r="I5" s="11">
        <v>32515399</v>
      </c>
      <c r="J5" s="11">
        <v>28985443</v>
      </c>
      <c r="K5" s="11">
        <v>21637763</v>
      </c>
      <c r="L5" s="11">
        <v>19219441</v>
      </c>
      <c r="M5" s="25">
        <v>41182764</v>
      </c>
      <c r="N5" s="11">
        <v>3</v>
      </c>
      <c r="O5" s="11">
        <v>8</v>
      </c>
      <c r="P5" s="25">
        <f>3941053+1098680+1430300+382852</f>
        <v>6852885</v>
      </c>
      <c r="Q5" s="25">
        <f>3729640+887206+216638+371033+8469821</f>
        <v>13674338</v>
      </c>
      <c r="R5" s="25">
        <v>70186618</v>
      </c>
      <c r="S5" s="25">
        <v>66659434</v>
      </c>
      <c r="T5" s="11">
        <v>19868522</v>
      </c>
      <c r="U5" s="25">
        <v>50318096</v>
      </c>
      <c r="V5" s="25">
        <v>66659434</v>
      </c>
      <c r="W5" s="11">
        <v>55424089</v>
      </c>
      <c r="X5" s="11">
        <v>29787303</v>
      </c>
      <c r="Y5" s="25">
        <v>25701913</v>
      </c>
      <c r="Z5" s="11">
        <v>17705706</v>
      </c>
      <c r="AA5" s="11">
        <v>15628189</v>
      </c>
      <c r="AB5" s="11">
        <v>7237120</v>
      </c>
      <c r="AC5" s="11">
        <v>7077207</v>
      </c>
      <c r="AD5" s="11">
        <v>19545001</v>
      </c>
      <c r="AE5" s="11">
        <v>19013651</v>
      </c>
      <c r="AF5" s="11">
        <v>21637763</v>
      </c>
      <c r="AG5" s="11">
        <v>19219441</v>
      </c>
      <c r="AH5" s="11">
        <v>0</v>
      </c>
      <c r="AI5" s="11">
        <v>1</v>
      </c>
      <c r="AJ5" s="11">
        <v>69926072</v>
      </c>
      <c r="AK5" s="11">
        <v>66453786</v>
      </c>
      <c r="AL5" s="11">
        <v>0</v>
      </c>
      <c r="AM5" s="11">
        <v>0</v>
      </c>
      <c r="AN5" s="11">
        <f t="shared" si="0"/>
        <v>10877636</v>
      </c>
      <c r="AO5" s="11">
        <f t="shared" si="1"/>
        <v>9766002</v>
      </c>
      <c r="AP5" s="11">
        <v>13689998</v>
      </c>
      <c r="AQ5" s="11">
        <v>13362236</v>
      </c>
    </row>
    <row r="6" spans="1:43" ht="15" customHeight="1" x14ac:dyDescent="0.25">
      <c r="A6" s="22"/>
      <c r="B6" s="22"/>
      <c r="C6" s="23"/>
      <c r="D6" s="12">
        <v>2018</v>
      </c>
      <c r="E6" s="12"/>
      <c r="F6" s="24">
        <v>4961851</v>
      </c>
      <c r="G6" s="25">
        <v>96537796</v>
      </c>
      <c r="H6" s="11">
        <f>G5</f>
        <v>87939488</v>
      </c>
      <c r="I6" s="25">
        <v>33272618</v>
      </c>
      <c r="J6" s="25">
        <f>I5</f>
        <v>32515399</v>
      </c>
      <c r="K6" s="25">
        <v>31204102</v>
      </c>
      <c r="L6" s="11">
        <f>K5</f>
        <v>21637763</v>
      </c>
      <c r="M6" s="25">
        <v>46620996</v>
      </c>
      <c r="N6" s="11">
        <v>3</v>
      </c>
      <c r="O6" s="11">
        <v>8</v>
      </c>
      <c r="P6" s="11">
        <f>4258499+1143472+951589+219116+11644156</f>
        <v>18216832</v>
      </c>
      <c r="Q6" s="11">
        <f>P5</f>
        <v>6852885</v>
      </c>
      <c r="R6" s="27">
        <v>73394728</v>
      </c>
      <c r="S6" s="11">
        <f>R5</f>
        <v>70186618</v>
      </c>
      <c r="T6" s="11">
        <v>20212005</v>
      </c>
      <c r="U6" s="11">
        <v>53182723</v>
      </c>
      <c r="V6" s="11">
        <f>U5</f>
        <v>50318096</v>
      </c>
      <c r="W6" s="11">
        <v>63265178</v>
      </c>
      <c r="X6" s="11">
        <v>42388236</v>
      </c>
      <c r="Y6" s="11">
        <f>X5</f>
        <v>29787303</v>
      </c>
      <c r="Z6" s="11">
        <v>23954694</v>
      </c>
      <c r="AA6" s="11">
        <f>Z5</f>
        <v>17705706</v>
      </c>
      <c r="AB6" s="11">
        <v>4466279</v>
      </c>
      <c r="AC6" s="11">
        <f>AB5</f>
        <v>7237120</v>
      </c>
      <c r="AD6" s="11">
        <v>15416894</v>
      </c>
      <c r="AE6" s="11">
        <f>AD5</f>
        <v>19545001</v>
      </c>
      <c r="AF6" s="11">
        <v>31204102</v>
      </c>
      <c r="AG6" s="11">
        <f>AF5</f>
        <v>21637763</v>
      </c>
      <c r="AH6" s="11">
        <v>0</v>
      </c>
      <c r="AI6" s="11">
        <v>1</v>
      </c>
      <c r="AJ6" s="11">
        <v>73491800</v>
      </c>
      <c r="AK6" s="11">
        <v>5935829</v>
      </c>
      <c r="AL6" s="11">
        <v>0</v>
      </c>
      <c r="AM6" s="11">
        <v>0</v>
      </c>
      <c r="AN6" s="11">
        <f t="shared" si="0"/>
        <v>2068516</v>
      </c>
      <c r="AO6" s="11">
        <f t="shared" si="1"/>
        <v>10877636</v>
      </c>
      <c r="AP6" s="11">
        <v>8786237</v>
      </c>
      <c r="AQ6" s="11">
        <f>AP5</f>
        <v>13689998</v>
      </c>
    </row>
    <row r="7" spans="1:43" ht="15" customHeight="1" x14ac:dyDescent="0.25">
      <c r="A7" s="22"/>
      <c r="B7" s="22"/>
      <c r="C7" s="23"/>
      <c r="D7" s="12">
        <v>2019</v>
      </c>
      <c r="E7" s="12"/>
      <c r="F7" s="24">
        <v>5902729</v>
      </c>
      <c r="G7" s="25">
        <v>96198559</v>
      </c>
      <c r="H7" s="11">
        <f>G6</f>
        <v>96537796</v>
      </c>
      <c r="I7" s="25">
        <v>31403445</v>
      </c>
      <c r="J7" s="25">
        <f>I6</f>
        <v>33272618</v>
      </c>
      <c r="K7" s="25">
        <v>24686862</v>
      </c>
      <c r="L7" s="11">
        <f>K6</f>
        <v>31204102</v>
      </c>
      <c r="M7" s="25">
        <v>41996071</v>
      </c>
      <c r="N7" s="11">
        <v>3</v>
      </c>
      <c r="O7" s="11">
        <v>8</v>
      </c>
      <c r="P7" s="25">
        <f>4128356+1277677+331283+227094</f>
        <v>5964410</v>
      </c>
      <c r="Q7" s="11">
        <f>P6</f>
        <v>18216832</v>
      </c>
      <c r="R7" s="11">
        <v>76592955</v>
      </c>
      <c r="S7" s="11">
        <f>R6</f>
        <v>73394728</v>
      </c>
      <c r="T7" s="11">
        <v>22716361</v>
      </c>
      <c r="U7" s="11">
        <v>53876594</v>
      </c>
      <c r="V7" s="11">
        <f>U6</f>
        <v>53182723</v>
      </c>
      <c r="W7" s="11">
        <v>64795114</v>
      </c>
      <c r="X7" s="11">
        <v>43072504</v>
      </c>
      <c r="Y7" s="11">
        <f>X6</f>
        <v>42388236</v>
      </c>
      <c r="Z7" s="11">
        <v>26600605</v>
      </c>
      <c r="AA7" s="11">
        <f>Z6</f>
        <v>23954694</v>
      </c>
      <c r="AB7" s="11">
        <v>4697173</v>
      </c>
      <c r="AC7" s="11">
        <f>AB6</f>
        <v>4466279</v>
      </c>
      <c r="AD7" s="11">
        <v>17309209</v>
      </c>
      <c r="AE7" s="11">
        <f>AD6</f>
        <v>15416894</v>
      </c>
      <c r="AF7" s="11">
        <v>24686862</v>
      </c>
      <c r="AG7" s="11">
        <f>AF6</f>
        <v>31204102</v>
      </c>
      <c r="AH7" s="11">
        <v>0</v>
      </c>
      <c r="AI7" s="11">
        <v>1</v>
      </c>
      <c r="AJ7" s="11">
        <v>76785002</v>
      </c>
      <c r="AK7" s="11">
        <v>13344494</v>
      </c>
      <c r="AL7" s="11">
        <v>0</v>
      </c>
      <c r="AM7" s="11">
        <v>0</v>
      </c>
      <c r="AN7" s="11">
        <f t="shared" si="0"/>
        <v>6716583</v>
      </c>
      <c r="AO7" s="11">
        <f t="shared" si="1"/>
        <v>2068516</v>
      </c>
      <c r="AP7" s="11">
        <v>13726510</v>
      </c>
      <c r="AQ7" s="11">
        <f>AP6</f>
        <v>8786237</v>
      </c>
    </row>
    <row r="8" spans="1:43" ht="15.75" customHeight="1" x14ac:dyDescent="0.25">
      <c r="A8" s="22">
        <v>3</v>
      </c>
      <c r="B8" s="22" t="s">
        <v>11</v>
      </c>
      <c r="C8" s="23" t="s">
        <v>12</v>
      </c>
      <c r="D8" s="12">
        <v>2017</v>
      </c>
      <c r="E8" s="12" t="s">
        <v>89</v>
      </c>
      <c r="F8" s="24">
        <v>109696001798</v>
      </c>
      <c r="G8" s="25">
        <v>3237595219274</v>
      </c>
      <c r="H8" s="11">
        <v>3284504424358</v>
      </c>
      <c r="I8" s="11">
        <v>1795404979854</v>
      </c>
      <c r="J8" s="11">
        <v>1876157549127</v>
      </c>
      <c r="K8" s="11">
        <v>1085566305465</v>
      </c>
      <c r="L8" s="11">
        <v>1220778246218</v>
      </c>
      <c r="M8" s="25">
        <v>1182424339165</v>
      </c>
      <c r="N8" s="25">
        <v>2</v>
      </c>
      <c r="O8" s="25">
        <v>4</v>
      </c>
      <c r="P8" s="25">
        <f>820333562486+50660404836</f>
        <v>870993967322</v>
      </c>
      <c r="Q8" s="11">
        <f>863423500403+67583898644</f>
        <v>931007399047</v>
      </c>
      <c r="R8" s="11">
        <v>3160637269263</v>
      </c>
      <c r="S8" s="11">
        <v>3493028761680</v>
      </c>
      <c r="T8" s="11">
        <v>1330497417591</v>
      </c>
      <c r="U8" s="11">
        <v>1830139851672</v>
      </c>
      <c r="V8" s="11">
        <v>2088614823251</v>
      </c>
      <c r="W8" s="11">
        <v>1442190239420</v>
      </c>
      <c r="X8" s="11">
        <v>1247283242755</v>
      </c>
      <c r="Y8" s="11">
        <v>1222356238771</v>
      </c>
      <c r="Z8" s="11">
        <v>394971084883</v>
      </c>
      <c r="AA8" s="11">
        <v>369590090625</v>
      </c>
      <c r="AB8" s="11">
        <v>248588074076</v>
      </c>
      <c r="AC8" s="11">
        <v>262688410318</v>
      </c>
      <c r="AD8" s="11">
        <v>96858033700</v>
      </c>
      <c r="AE8" s="11">
        <v>111653704511</v>
      </c>
      <c r="AF8" s="11">
        <v>1085566305465</v>
      </c>
      <c r="AG8" s="11">
        <v>1220778246218</v>
      </c>
      <c r="AH8" s="11">
        <v>0</v>
      </c>
      <c r="AI8" s="11">
        <v>1</v>
      </c>
      <c r="AJ8" s="11">
        <v>3203290182735</v>
      </c>
      <c r="AK8" s="11">
        <v>240312298590</v>
      </c>
      <c r="AL8" s="11">
        <v>0</v>
      </c>
      <c r="AM8" s="11">
        <v>0</v>
      </c>
      <c r="AN8" s="11">
        <f t="shared" si="0"/>
        <v>709838674389</v>
      </c>
      <c r="AO8" s="11">
        <f t="shared" si="1"/>
        <v>655379302909</v>
      </c>
      <c r="AP8" s="11">
        <v>350224744236</v>
      </c>
      <c r="AQ8" s="11">
        <v>376655296337</v>
      </c>
    </row>
    <row r="9" spans="1:43" ht="15" customHeight="1" x14ac:dyDescent="0.25">
      <c r="A9" s="22"/>
      <c r="B9" s="22"/>
      <c r="C9" s="23"/>
      <c r="D9" s="12">
        <v>2018</v>
      </c>
      <c r="E9" s="12"/>
      <c r="F9" s="24">
        <v>150116045042</v>
      </c>
      <c r="G9" s="25">
        <v>4695764958883</v>
      </c>
      <c r="H9" s="11">
        <f>G8</f>
        <v>3237595219274</v>
      </c>
      <c r="I9" s="25">
        <v>1975979249304</v>
      </c>
      <c r="J9" s="25">
        <f>I8</f>
        <v>1795404979854</v>
      </c>
      <c r="K9" s="25">
        <v>1314561901651</v>
      </c>
      <c r="L9" s="11">
        <f>K8</f>
        <v>1085566305465</v>
      </c>
      <c r="M9" s="25">
        <v>1405264079012</v>
      </c>
      <c r="N9" s="25">
        <v>2</v>
      </c>
      <c r="O9" s="25">
        <v>4</v>
      </c>
      <c r="P9" s="25">
        <f>1369676008091+87726431+55341961569</f>
        <v>1425105696091</v>
      </c>
      <c r="Q9" s="25">
        <f>P8</f>
        <v>870993967322</v>
      </c>
      <c r="R9" s="11">
        <v>3611694059699</v>
      </c>
      <c r="S9" s="11">
        <f>R8</f>
        <v>3160637269263</v>
      </c>
      <c r="T9" s="11">
        <v>1643220463852</v>
      </c>
      <c r="U9" s="11">
        <v>1968473595847</v>
      </c>
      <c r="V9" s="11">
        <f>U8</f>
        <v>1830139851672</v>
      </c>
      <c r="W9" s="11">
        <v>1616184956104</v>
      </c>
      <c r="X9" s="11">
        <v>1416998860302</v>
      </c>
      <c r="Y9" s="11">
        <f>X8</f>
        <v>1247283242755</v>
      </c>
      <c r="Z9" s="25">
        <v>430520303779</v>
      </c>
      <c r="AA9" s="11">
        <f>Z8</f>
        <v>394971084883</v>
      </c>
      <c r="AB9" s="11">
        <v>274289506550</v>
      </c>
      <c r="AC9" s="11">
        <f>AB8</f>
        <v>248588074076</v>
      </c>
      <c r="AD9" s="11">
        <v>90702177361</v>
      </c>
      <c r="AE9" s="11">
        <f>AD8</f>
        <v>96858033700</v>
      </c>
      <c r="AF9" s="11">
        <v>1314561901651</v>
      </c>
      <c r="AG9" s="11">
        <f>AF8</f>
        <v>1085566305465</v>
      </c>
      <c r="AH9" s="11">
        <v>0</v>
      </c>
      <c r="AI9" s="11">
        <v>1</v>
      </c>
      <c r="AJ9" s="11">
        <v>3464386661035</v>
      </c>
      <c r="AK9" s="11">
        <v>160526205538</v>
      </c>
      <c r="AL9" s="11">
        <v>0</v>
      </c>
      <c r="AM9" s="11">
        <v>0</v>
      </c>
      <c r="AN9" s="11">
        <f t="shared" ref="AN9:AN16" si="2">I9-K9</f>
        <v>661417347653</v>
      </c>
      <c r="AO9" s="11">
        <f t="shared" ref="AO9:AO16" si="3">J9-L9</f>
        <v>709838674389</v>
      </c>
      <c r="AP9" s="11">
        <v>237187487993</v>
      </c>
      <c r="AQ9" s="11">
        <f>AP8</f>
        <v>350224744236</v>
      </c>
    </row>
    <row r="10" spans="1:43" ht="15" customHeight="1" x14ac:dyDescent="0.25">
      <c r="A10" s="22"/>
      <c r="B10" s="22"/>
      <c r="C10" s="23"/>
      <c r="D10" s="12">
        <v>2019</v>
      </c>
      <c r="E10" s="12"/>
      <c r="F10" s="24">
        <v>515603339649</v>
      </c>
      <c r="G10" s="25">
        <v>3592164205408</v>
      </c>
      <c r="H10" s="11">
        <f>G9</f>
        <v>4695764958883</v>
      </c>
      <c r="I10" s="25">
        <v>2335039563811</v>
      </c>
      <c r="J10" s="25">
        <f>I9</f>
        <v>1975979249304</v>
      </c>
      <c r="K10" s="25">
        <v>1733135623684</v>
      </c>
      <c r="L10" s="11">
        <f>K9</f>
        <v>1314561901651</v>
      </c>
      <c r="M10" s="25">
        <v>1992902779331</v>
      </c>
      <c r="N10" s="25">
        <v>2</v>
      </c>
      <c r="O10" s="25">
        <v>4</v>
      </c>
      <c r="P10" s="25">
        <f>966694280404+770208188+55603969418</f>
        <v>1023068458010</v>
      </c>
      <c r="Q10" s="25">
        <f>P9</f>
        <v>1425105696091</v>
      </c>
      <c r="R10" s="11">
        <v>4678868638822</v>
      </c>
      <c r="S10" s="11">
        <f>R9</f>
        <v>3611694059699</v>
      </c>
      <c r="T10" s="11">
        <v>2190572296505</v>
      </c>
      <c r="U10" s="11">
        <v>2488296342317</v>
      </c>
      <c r="V10" s="11">
        <f>U9</f>
        <v>1968473595847</v>
      </c>
      <c r="W10" s="11">
        <v>2360725395072</v>
      </c>
      <c r="X10" s="11">
        <v>2159772086658</v>
      </c>
      <c r="Y10" s="11">
        <f>X9</f>
        <v>1416998860302</v>
      </c>
      <c r="Z10" s="25">
        <v>7979509540</v>
      </c>
      <c r="AA10" s="11">
        <f>Z9</f>
        <v>430520303779</v>
      </c>
      <c r="AB10" s="11">
        <v>302639425519</v>
      </c>
      <c r="AC10" s="11">
        <f>AB9</f>
        <v>274289506550</v>
      </c>
      <c r="AD10" s="11">
        <v>259767155647</v>
      </c>
      <c r="AE10" s="11">
        <f>AD9</f>
        <v>90702177361</v>
      </c>
      <c r="AF10" s="11">
        <v>1733135623684</v>
      </c>
      <c r="AG10" s="11">
        <f>AF9</f>
        <v>1314561901651</v>
      </c>
      <c r="AH10" s="11">
        <v>0</v>
      </c>
      <c r="AI10" s="11">
        <v>1</v>
      </c>
      <c r="AJ10" s="11">
        <v>4367397382240</v>
      </c>
      <c r="AK10" s="11">
        <v>17379083127</v>
      </c>
      <c r="AL10" s="11">
        <v>0</v>
      </c>
      <c r="AM10" s="11">
        <v>0</v>
      </c>
      <c r="AN10" s="11">
        <f t="shared" si="2"/>
        <v>601903940127</v>
      </c>
      <c r="AO10" s="11">
        <f t="shared" si="3"/>
        <v>661417347653</v>
      </c>
      <c r="AP10" s="11">
        <v>251520341374</v>
      </c>
      <c r="AQ10" s="11">
        <f>AP9</f>
        <v>237187487993</v>
      </c>
    </row>
    <row r="11" spans="1:43" ht="15" customHeight="1" x14ac:dyDescent="0.25">
      <c r="A11" s="22">
        <v>4</v>
      </c>
      <c r="B11" s="22" t="s">
        <v>8</v>
      </c>
      <c r="C11" s="23" t="s">
        <v>26</v>
      </c>
      <c r="D11" s="12">
        <v>2017</v>
      </c>
      <c r="E11" s="12" t="s">
        <v>87</v>
      </c>
      <c r="F11" s="24">
        <v>3543173</v>
      </c>
      <c r="G11" s="25">
        <v>31619514</v>
      </c>
      <c r="H11" s="11">
        <v>28901948</v>
      </c>
      <c r="I11" s="11">
        <v>16579331</v>
      </c>
      <c r="J11" s="11">
        <v>15571362</v>
      </c>
      <c r="K11" s="11">
        <v>6827588</v>
      </c>
      <c r="L11" s="11">
        <v>6469785</v>
      </c>
      <c r="M11" s="25">
        <v>11295184</v>
      </c>
      <c r="N11" s="25">
        <v>3</v>
      </c>
      <c r="O11" s="25">
        <v>6</v>
      </c>
      <c r="P11" s="11">
        <f>1096176+2775076</f>
        <v>3871252</v>
      </c>
      <c r="Q11" s="11">
        <f>984573+2736633</f>
        <v>3721206</v>
      </c>
      <c r="R11" s="11">
        <v>35606593</v>
      </c>
      <c r="S11" s="11">
        <v>34375236</v>
      </c>
      <c r="T11" s="11">
        <v>11058836</v>
      </c>
      <c r="U11" s="11">
        <v>24547757</v>
      </c>
      <c r="V11" s="11">
        <v>23606755</v>
      </c>
      <c r="W11" s="11">
        <v>15040183</v>
      </c>
      <c r="X11" s="11">
        <v>8120254</v>
      </c>
      <c r="Y11" s="11">
        <v>7114288</v>
      </c>
      <c r="Z11" s="11">
        <v>4979401</v>
      </c>
      <c r="AA11" s="11">
        <v>4356611</v>
      </c>
      <c r="AB11" s="11">
        <v>1667733</v>
      </c>
      <c r="AC11" s="11">
        <v>1653564</v>
      </c>
      <c r="AD11" s="11">
        <v>4467596</v>
      </c>
      <c r="AE11" s="11">
        <v>3931340</v>
      </c>
      <c r="AF11" s="11">
        <v>6827588</v>
      </c>
      <c r="AG11" s="11">
        <v>6469785</v>
      </c>
      <c r="AH11" s="11">
        <v>0</v>
      </c>
      <c r="AI11" s="11">
        <v>1</v>
      </c>
      <c r="AJ11" s="11">
        <v>35613963</v>
      </c>
      <c r="AK11" s="11">
        <v>5174368</v>
      </c>
      <c r="AL11" s="11">
        <v>0</v>
      </c>
      <c r="AM11" s="11">
        <v>0</v>
      </c>
      <c r="AN11" s="11">
        <f t="shared" si="2"/>
        <v>9751743</v>
      </c>
      <c r="AO11" s="11">
        <f t="shared" si="3"/>
        <v>9101577</v>
      </c>
      <c r="AP11" s="11">
        <v>8796690</v>
      </c>
      <c r="AQ11" s="11">
        <v>8371980</v>
      </c>
    </row>
    <row r="12" spans="1:43" ht="15" customHeight="1" x14ac:dyDescent="0.25">
      <c r="A12" s="22"/>
      <c r="B12" s="22"/>
      <c r="C12" s="23"/>
      <c r="D12" s="12">
        <v>2018</v>
      </c>
      <c r="E12" s="12"/>
      <c r="F12" s="24">
        <v>4658781</v>
      </c>
      <c r="G12" s="25">
        <v>34367153</v>
      </c>
      <c r="H12" s="11">
        <f>G11</f>
        <v>31619514</v>
      </c>
      <c r="I12" s="25">
        <v>14121568</v>
      </c>
      <c r="J12" s="25">
        <f>I11</f>
        <v>16579331</v>
      </c>
      <c r="K12" s="25">
        <v>7235398</v>
      </c>
      <c r="L12" s="11">
        <f>K11</f>
        <v>6827588</v>
      </c>
      <c r="M12" s="25">
        <v>11660003</v>
      </c>
      <c r="N12" s="25">
        <v>3</v>
      </c>
      <c r="O12" s="25">
        <v>6</v>
      </c>
      <c r="P12" s="11">
        <f>1117009+3011182</f>
        <v>4128191</v>
      </c>
      <c r="Q12" s="11">
        <f>P11</f>
        <v>3871252</v>
      </c>
      <c r="R12" s="11">
        <v>38413407</v>
      </c>
      <c r="S12" s="11">
        <f>R11</f>
        <v>35606593</v>
      </c>
      <c r="T12" s="11">
        <v>12265550</v>
      </c>
      <c r="U12" s="11">
        <v>26147857</v>
      </c>
      <c r="V12" s="11">
        <f>U11</f>
        <v>24547757</v>
      </c>
      <c r="W12" s="11">
        <v>20245585</v>
      </c>
      <c r="X12" s="11">
        <v>10741622</v>
      </c>
      <c r="Y12" s="11">
        <f>X11</f>
        <v>8120254</v>
      </c>
      <c r="Z12" s="11">
        <v>5713172</v>
      </c>
      <c r="AA12" s="11">
        <f>Z11</f>
        <v>4979401</v>
      </c>
      <c r="AB12" s="11">
        <v>2063933</v>
      </c>
      <c r="AC12" s="11">
        <f>AB11</f>
        <v>1667733</v>
      </c>
      <c r="AD12" s="11">
        <v>4424605</v>
      </c>
      <c r="AE12" s="11">
        <f>AD11</f>
        <v>4467596</v>
      </c>
      <c r="AF12" s="11">
        <v>7235398</v>
      </c>
      <c r="AG12" s="11">
        <f>AF11</f>
        <v>6827588</v>
      </c>
      <c r="AH12" s="11">
        <v>0</v>
      </c>
      <c r="AI12" s="11">
        <v>1</v>
      </c>
      <c r="AJ12" s="11">
        <v>38610099</v>
      </c>
      <c r="AK12" s="11">
        <v>4653375</v>
      </c>
      <c r="AL12" s="11">
        <v>0</v>
      </c>
      <c r="AM12" s="11">
        <v>0</v>
      </c>
      <c r="AN12" s="11">
        <f t="shared" si="2"/>
        <v>6886170</v>
      </c>
      <c r="AO12" s="11">
        <f t="shared" si="3"/>
        <v>9751743</v>
      </c>
      <c r="AP12" s="11">
        <v>4703806</v>
      </c>
      <c r="AQ12" s="11">
        <f>AP11</f>
        <v>8796690</v>
      </c>
    </row>
    <row r="13" spans="1:43" ht="15" customHeight="1" x14ac:dyDescent="0.25">
      <c r="A13" s="22"/>
      <c r="B13" s="22"/>
      <c r="C13" s="23"/>
      <c r="D13" s="12">
        <v>2019</v>
      </c>
      <c r="E13" s="12"/>
      <c r="F13" s="24">
        <v>5360029</v>
      </c>
      <c r="G13" s="25">
        <v>38709314</v>
      </c>
      <c r="H13" s="11">
        <f>G12</f>
        <v>34367153</v>
      </c>
      <c r="I13" s="25">
        <v>16624925</v>
      </c>
      <c r="J13" s="25">
        <f>I12</f>
        <v>14121568</v>
      </c>
      <c r="K13" s="25">
        <v>6556359</v>
      </c>
      <c r="L13" s="11">
        <f>K12</f>
        <v>7235398</v>
      </c>
      <c r="M13" s="25">
        <v>1203821</v>
      </c>
      <c r="N13" s="25">
        <v>3</v>
      </c>
      <c r="O13" s="25">
        <v>6</v>
      </c>
      <c r="P13" s="11">
        <f>1065882+2983408</f>
        <v>4049290</v>
      </c>
      <c r="Q13" s="11">
        <f>P12</f>
        <v>4128191</v>
      </c>
      <c r="R13" s="11">
        <v>42296703</v>
      </c>
      <c r="S13" s="11">
        <f>R12</f>
        <v>38413407</v>
      </c>
      <c r="T13" s="11">
        <v>14404013</v>
      </c>
      <c r="U13" s="11">
        <v>27892690</v>
      </c>
      <c r="V13" s="11">
        <f>U12</f>
        <v>26147857</v>
      </c>
      <c r="W13" s="11">
        <v>22084389</v>
      </c>
      <c r="X13" s="11">
        <v>11342412</v>
      </c>
      <c r="Y13" s="11">
        <f>X12</f>
        <v>10741622</v>
      </c>
      <c r="Z13" s="11">
        <v>6599585</v>
      </c>
      <c r="AA13" s="11">
        <f>Z12</f>
        <v>5713172</v>
      </c>
      <c r="AB13" s="11">
        <v>2119627</v>
      </c>
      <c r="AC13" s="11">
        <f>AB12</f>
        <v>2063933</v>
      </c>
      <c r="AD13" s="11">
        <v>5481851</v>
      </c>
      <c r="AE13" s="11">
        <f>AD12</f>
        <v>4424605</v>
      </c>
      <c r="AF13" s="11">
        <v>6556359</v>
      </c>
      <c r="AG13" s="11">
        <f>AF12</f>
        <v>7235398</v>
      </c>
      <c r="AH13" s="11">
        <v>0</v>
      </c>
      <c r="AI13" s="11">
        <v>1</v>
      </c>
      <c r="AJ13" s="11">
        <v>42564285</v>
      </c>
      <c r="AK13" s="11">
        <v>7398161</v>
      </c>
      <c r="AL13" s="11">
        <v>0</v>
      </c>
      <c r="AM13" s="11">
        <v>0</v>
      </c>
      <c r="AN13" s="11">
        <f t="shared" si="2"/>
        <v>10068566</v>
      </c>
      <c r="AO13" s="11">
        <f t="shared" si="3"/>
        <v>6886170</v>
      </c>
      <c r="AP13" s="11">
        <v>8340556</v>
      </c>
      <c r="AQ13" s="11">
        <f>AP12</f>
        <v>4703806</v>
      </c>
    </row>
    <row r="14" spans="1:43" ht="15" customHeight="1" x14ac:dyDescent="0.25">
      <c r="A14" s="22">
        <v>5</v>
      </c>
      <c r="B14" s="22" t="s">
        <v>13</v>
      </c>
      <c r="C14" s="23" t="s">
        <v>14</v>
      </c>
      <c r="D14" s="12">
        <v>2017</v>
      </c>
      <c r="E14" s="12" t="s">
        <v>87</v>
      </c>
      <c r="F14" s="9">
        <v>1322067</v>
      </c>
      <c r="G14" s="10">
        <v>2510078</v>
      </c>
      <c r="H14" s="11">
        <v>2275038</v>
      </c>
      <c r="I14" s="11">
        <v>1076845</v>
      </c>
      <c r="J14" s="11">
        <v>901258</v>
      </c>
      <c r="K14" s="11">
        <v>1304114</v>
      </c>
      <c r="L14" s="11">
        <v>1326261</v>
      </c>
      <c r="M14" s="10">
        <v>1445173</v>
      </c>
      <c r="N14" s="10">
        <v>2</v>
      </c>
      <c r="O14" s="10">
        <v>6</v>
      </c>
      <c r="P14" s="10">
        <f>560248+12149</f>
        <v>572397</v>
      </c>
      <c r="Q14" s="12">
        <f>286846+2734</f>
        <v>289580</v>
      </c>
      <c r="R14" s="11">
        <v>3389736</v>
      </c>
      <c r="S14" s="11">
        <v>3263311</v>
      </c>
      <c r="T14" s="11">
        <v>2271704</v>
      </c>
      <c r="U14" s="11">
        <v>1118032</v>
      </c>
      <c r="V14" s="11">
        <v>1115567</v>
      </c>
      <c r="W14" s="11">
        <v>1433233</v>
      </c>
      <c r="X14" s="11">
        <v>1364086</v>
      </c>
      <c r="Y14" s="11">
        <v>1278015</v>
      </c>
      <c r="Z14" s="12">
        <v>973.37400000000002</v>
      </c>
      <c r="AA14" s="12">
        <v>942.19299999999998</v>
      </c>
      <c r="AB14" s="11">
        <v>175267</v>
      </c>
      <c r="AC14" s="11">
        <v>206865</v>
      </c>
      <c r="AD14" s="11">
        <v>141059</v>
      </c>
      <c r="AE14" s="11">
        <v>128137</v>
      </c>
      <c r="AF14" s="11">
        <v>1304114</v>
      </c>
      <c r="AG14" s="11">
        <v>1326261</v>
      </c>
      <c r="AH14" s="12">
        <v>0</v>
      </c>
      <c r="AI14" s="12">
        <v>1</v>
      </c>
      <c r="AJ14" s="11">
        <v>3106199</v>
      </c>
      <c r="AK14" s="11">
        <v>3181795</v>
      </c>
      <c r="AL14" s="12">
        <v>0</v>
      </c>
      <c r="AM14" s="12">
        <v>0</v>
      </c>
      <c r="AN14" s="11">
        <f t="shared" si="2"/>
        <v>-227269</v>
      </c>
      <c r="AO14" s="11">
        <f t="shared" si="3"/>
        <v>-425003</v>
      </c>
      <c r="AP14" s="11">
        <v>223054</v>
      </c>
      <c r="AQ14" s="11">
        <v>403231</v>
      </c>
    </row>
    <row r="15" spans="1:43" ht="15" customHeight="1" x14ac:dyDescent="0.25">
      <c r="A15" s="22"/>
      <c r="B15" s="22"/>
      <c r="C15" s="23"/>
      <c r="D15" s="12">
        <v>2018</v>
      </c>
      <c r="E15" s="12"/>
      <c r="F15" s="9">
        <v>1224807</v>
      </c>
      <c r="G15" s="10">
        <v>2889501</v>
      </c>
      <c r="H15" s="13">
        <f>G14</f>
        <v>2510078</v>
      </c>
      <c r="I15" s="10">
        <v>1228961</v>
      </c>
      <c r="J15" s="10">
        <f>I14</f>
        <v>1076845</v>
      </c>
      <c r="K15" s="10">
        <v>1578919</v>
      </c>
      <c r="L15" s="11">
        <f>K14</f>
        <v>1304114</v>
      </c>
      <c r="M15" s="10">
        <v>1721965</v>
      </c>
      <c r="N15" s="10">
        <v>2</v>
      </c>
      <c r="O15" s="10">
        <v>6</v>
      </c>
      <c r="P15" s="10">
        <f>604963+680</f>
        <v>605643</v>
      </c>
      <c r="Q15" s="13">
        <f>P14</f>
        <v>572397</v>
      </c>
      <c r="R15" s="11">
        <v>3574801</v>
      </c>
      <c r="S15" s="11">
        <f>R14</f>
        <v>3389736</v>
      </c>
      <c r="T15" s="11">
        <v>2210051</v>
      </c>
      <c r="U15" s="11">
        <v>1364750</v>
      </c>
      <c r="V15" s="11">
        <f>U14</f>
        <v>1118032</v>
      </c>
      <c r="W15" s="11">
        <v>1660540</v>
      </c>
      <c r="X15" s="11">
        <v>1524061</v>
      </c>
      <c r="Y15" s="11">
        <f>X14</f>
        <v>1364086</v>
      </c>
      <c r="Z15" s="11">
        <v>1524061</v>
      </c>
      <c r="AA15" s="12">
        <f>Z14</f>
        <v>973.37400000000002</v>
      </c>
      <c r="AB15" s="11">
        <v>198772</v>
      </c>
      <c r="AC15" s="11">
        <f>AB14</f>
        <v>175267</v>
      </c>
      <c r="AD15" s="11">
        <v>143046</v>
      </c>
      <c r="AE15" s="11">
        <f>AD14</f>
        <v>141059</v>
      </c>
      <c r="AF15" s="11">
        <v>1578919</v>
      </c>
      <c r="AG15" s="11">
        <f>AF14</f>
        <v>1304114</v>
      </c>
      <c r="AH15" s="12">
        <v>0</v>
      </c>
      <c r="AI15" s="12">
        <v>1</v>
      </c>
      <c r="AJ15" s="11">
        <v>3599116</v>
      </c>
      <c r="AK15" s="11">
        <f>AJ14</f>
        <v>3106199</v>
      </c>
      <c r="AL15" s="12">
        <v>0</v>
      </c>
      <c r="AM15" s="12">
        <v>0</v>
      </c>
      <c r="AN15" s="11">
        <f t="shared" si="2"/>
        <v>-349958</v>
      </c>
      <c r="AO15" s="11">
        <f t="shared" si="3"/>
        <v>-227269</v>
      </c>
      <c r="AP15" s="11">
        <v>77797</v>
      </c>
      <c r="AQ15" s="11">
        <v>307896</v>
      </c>
    </row>
    <row r="16" spans="1:43" ht="15" customHeight="1" x14ac:dyDescent="0.25">
      <c r="A16" s="22"/>
      <c r="B16" s="22"/>
      <c r="C16" s="23"/>
      <c r="D16" s="12">
        <v>2019</v>
      </c>
      <c r="E16" s="12"/>
      <c r="F16" s="9">
        <v>1206059</v>
      </c>
      <c r="G16" s="10">
        <v>289695</v>
      </c>
      <c r="H16" s="13">
        <f>G15</f>
        <v>2889501</v>
      </c>
      <c r="I16" s="10">
        <v>1162802</v>
      </c>
      <c r="J16" s="10">
        <f>I15</f>
        <v>1228961</v>
      </c>
      <c r="K16" s="10">
        <v>1588693</v>
      </c>
      <c r="L16" s="11">
        <f>K15</f>
        <v>1578919</v>
      </c>
      <c r="M16" s="10">
        <v>1750943</v>
      </c>
      <c r="N16" s="10">
        <v>2</v>
      </c>
      <c r="O16" s="10">
        <v>6</v>
      </c>
      <c r="P16" s="11">
        <f>858299+2352</f>
        <v>860651</v>
      </c>
      <c r="Q16" s="13">
        <f>P15</f>
        <v>605643</v>
      </c>
      <c r="R16" s="11">
        <v>3711405</v>
      </c>
      <c r="S16" s="11">
        <f>R15</f>
        <v>3574801</v>
      </c>
      <c r="T16" s="11">
        <v>2285054</v>
      </c>
      <c r="U16" s="11">
        <v>1426351</v>
      </c>
      <c r="V16" s="11">
        <f>U15</f>
        <v>1364750</v>
      </c>
      <c r="W16" s="11">
        <v>1734148</v>
      </c>
      <c r="X16" s="11">
        <v>1559289</v>
      </c>
      <c r="Y16" s="11">
        <f>X15</f>
        <v>1524061</v>
      </c>
      <c r="Z16" s="11">
        <v>1559289</v>
      </c>
      <c r="AA16" s="12">
        <f>Z15</f>
        <v>1524061</v>
      </c>
      <c r="AB16" s="11">
        <v>207854</v>
      </c>
      <c r="AC16" s="11">
        <f>AB15</f>
        <v>198772</v>
      </c>
      <c r="AD16" s="11">
        <v>162250</v>
      </c>
      <c r="AE16" s="11">
        <f>AD15</f>
        <v>143046</v>
      </c>
      <c r="AF16" s="11">
        <v>1588693</v>
      </c>
      <c r="AG16" s="11">
        <f>AF15</f>
        <v>1578919</v>
      </c>
      <c r="AH16" s="12">
        <v>1</v>
      </c>
      <c r="AI16" s="12">
        <v>1</v>
      </c>
      <c r="AJ16" s="11">
        <v>3465660</v>
      </c>
      <c r="AK16" s="11">
        <f>AJ15</f>
        <v>3599116</v>
      </c>
      <c r="AL16" s="12">
        <v>0</v>
      </c>
      <c r="AM16" s="12">
        <v>0</v>
      </c>
      <c r="AN16" s="11">
        <f t="shared" si="2"/>
        <v>-425891</v>
      </c>
      <c r="AO16" s="11">
        <f t="shared" si="3"/>
        <v>-349958</v>
      </c>
      <c r="AP16" s="12">
        <v>77.796999999999997</v>
      </c>
      <c r="AQ16" s="12">
        <v>307.89600000000002</v>
      </c>
    </row>
    <row r="17" spans="1:43" ht="15" customHeight="1" x14ac:dyDescent="0.25">
      <c r="A17" s="22">
        <v>6</v>
      </c>
      <c r="B17" s="22" t="s">
        <v>15</v>
      </c>
      <c r="C17" s="23" t="s">
        <v>16</v>
      </c>
      <c r="D17" s="12">
        <v>2017</v>
      </c>
      <c r="E17" s="12" t="s">
        <v>87</v>
      </c>
      <c r="F17" s="9">
        <v>533799</v>
      </c>
      <c r="G17" s="10">
        <v>3158198</v>
      </c>
      <c r="H17" s="11">
        <v>2987614</v>
      </c>
      <c r="I17" s="11">
        <v>1628901</v>
      </c>
      <c r="J17" s="11">
        <v>1794125</v>
      </c>
      <c r="K17" s="11">
        <v>208507</v>
      </c>
      <c r="L17" s="11">
        <v>215686</v>
      </c>
      <c r="M17" s="10">
        <v>262333</v>
      </c>
      <c r="N17" s="10">
        <v>2</v>
      </c>
      <c r="O17" s="10">
        <v>5</v>
      </c>
      <c r="P17" s="12">
        <f>427248+74</f>
        <v>427322</v>
      </c>
      <c r="Q17" s="12">
        <f>367145+59</f>
        <v>367204</v>
      </c>
      <c r="R17" s="11">
        <v>2573840</v>
      </c>
      <c r="S17" s="11">
        <v>2561806</v>
      </c>
      <c r="T17" s="11">
        <v>1161959</v>
      </c>
      <c r="U17" s="11">
        <v>1411881</v>
      </c>
      <c r="V17" s="11">
        <v>1494142</v>
      </c>
      <c r="W17" s="11">
        <v>1529297</v>
      </c>
      <c r="X17" s="11">
        <v>1215176</v>
      </c>
      <c r="Y17" s="11">
        <v>1051227</v>
      </c>
      <c r="Z17" s="11">
        <v>454203</v>
      </c>
      <c r="AA17" s="11">
        <v>395915</v>
      </c>
      <c r="AB17" s="11">
        <v>172018</v>
      </c>
      <c r="AC17" s="11">
        <v>138026</v>
      </c>
      <c r="AD17" s="11">
        <v>53826</v>
      </c>
      <c r="AE17" s="11">
        <v>14043</v>
      </c>
      <c r="AF17" s="11">
        <v>208507</v>
      </c>
      <c r="AG17" s="11">
        <v>215686</v>
      </c>
      <c r="AH17" s="12">
        <v>1</v>
      </c>
      <c r="AI17" s="12">
        <v>1</v>
      </c>
      <c r="AJ17" s="11">
        <v>2526395</v>
      </c>
      <c r="AK17" s="11">
        <v>2474183</v>
      </c>
      <c r="AL17" s="12">
        <v>0</v>
      </c>
      <c r="AM17" s="12">
        <v>0</v>
      </c>
      <c r="AN17" s="11">
        <f t="shared" ref="AN15:AN46" si="4">I17-K17</f>
        <v>1420394</v>
      </c>
      <c r="AO17" s="11">
        <f t="shared" ref="AO15:AO46" si="5">J17-L17</f>
        <v>1578439</v>
      </c>
      <c r="AP17" s="11">
        <v>902852</v>
      </c>
      <c r="AQ17" s="11">
        <v>997135</v>
      </c>
    </row>
    <row r="18" spans="1:43" ht="15" customHeight="1" x14ac:dyDescent="0.25">
      <c r="A18" s="22"/>
      <c r="B18" s="22"/>
      <c r="C18" s="23"/>
      <c r="D18" s="12">
        <v>2018</v>
      </c>
      <c r="E18" s="12"/>
      <c r="F18" s="9">
        <v>663849</v>
      </c>
      <c r="G18" s="10">
        <v>3337628</v>
      </c>
      <c r="H18" s="13">
        <f>G17</f>
        <v>3158198</v>
      </c>
      <c r="I18" s="10">
        <v>1543597</v>
      </c>
      <c r="J18" s="10">
        <f>I17</f>
        <v>1628901</v>
      </c>
      <c r="K18" s="10">
        <v>36838</v>
      </c>
      <c r="L18" s="11">
        <f>K17</f>
        <v>208507</v>
      </c>
      <c r="M18" s="10">
        <v>435014</v>
      </c>
      <c r="N18" s="10">
        <v>2</v>
      </c>
      <c r="O18" s="10">
        <v>5</v>
      </c>
      <c r="P18" s="12">
        <f>180189+229662</f>
        <v>409851</v>
      </c>
      <c r="Q18" s="12">
        <f>P17</f>
        <v>427322</v>
      </c>
      <c r="R18" s="11">
        <v>2763292</v>
      </c>
      <c r="S18" s="11">
        <f>R17</f>
        <v>2573840</v>
      </c>
      <c r="T18" s="11">
        <v>1424391</v>
      </c>
      <c r="U18" s="11">
        <f>T17</f>
        <v>1161959</v>
      </c>
      <c r="V18" s="11">
        <f>U17</f>
        <v>1411881</v>
      </c>
      <c r="W18" s="11">
        <v>1794031</v>
      </c>
      <c r="X18" s="11">
        <v>1553362</v>
      </c>
      <c r="Y18" s="11">
        <f>X17</f>
        <v>1215176</v>
      </c>
      <c r="Z18" s="11">
        <v>515479</v>
      </c>
      <c r="AA18" s="11">
        <f>Z17</f>
        <v>454203</v>
      </c>
      <c r="AB18" s="11">
        <v>202708</v>
      </c>
      <c r="AC18" s="11">
        <f>AB17</f>
        <v>172018</v>
      </c>
      <c r="AD18" s="11">
        <v>66634</v>
      </c>
      <c r="AE18" s="11">
        <f>AD17</f>
        <v>53826</v>
      </c>
      <c r="AF18" s="11">
        <v>368380</v>
      </c>
      <c r="AG18" s="11">
        <f>AF17</f>
        <v>208507</v>
      </c>
      <c r="AH18" s="12">
        <v>1</v>
      </c>
      <c r="AI18" s="12">
        <v>1</v>
      </c>
      <c r="AJ18" s="11">
        <v>2799258</v>
      </c>
      <c r="AK18" s="11">
        <v>846389</v>
      </c>
      <c r="AL18" s="12">
        <v>0</v>
      </c>
      <c r="AM18" s="12">
        <v>0</v>
      </c>
      <c r="AN18" s="11">
        <f t="shared" si="4"/>
        <v>1506759</v>
      </c>
      <c r="AO18" s="11">
        <f t="shared" si="5"/>
        <v>1420394</v>
      </c>
      <c r="AP18" s="11">
        <v>805833</v>
      </c>
      <c r="AQ18" s="12">
        <f>AP17</f>
        <v>902852</v>
      </c>
    </row>
    <row r="19" spans="1:43" ht="15" customHeight="1" x14ac:dyDescent="0.25">
      <c r="A19" s="22"/>
      <c r="B19" s="22"/>
      <c r="C19" s="23"/>
      <c r="D19" s="12">
        <v>2019</v>
      </c>
      <c r="E19" s="12"/>
      <c r="F19" s="9">
        <v>807689</v>
      </c>
      <c r="G19" s="10">
        <v>3536898</v>
      </c>
      <c r="H19" s="13">
        <f>G18</f>
        <v>3337628</v>
      </c>
      <c r="I19" s="10">
        <v>1716235</v>
      </c>
      <c r="J19" s="10">
        <f>I18</f>
        <v>1543597</v>
      </c>
      <c r="K19" s="10">
        <v>416211</v>
      </c>
      <c r="L19" s="11">
        <f>K18</f>
        <v>36838</v>
      </c>
      <c r="M19" s="10">
        <v>472191</v>
      </c>
      <c r="N19" s="10">
        <v>2</v>
      </c>
      <c r="O19" s="10">
        <v>5</v>
      </c>
      <c r="P19" s="12">
        <f>269281+260124</f>
        <v>529405</v>
      </c>
      <c r="Q19" s="12">
        <f>P18</f>
        <v>409851</v>
      </c>
      <c r="R19" s="11">
        <v>3067434</v>
      </c>
      <c r="S19" s="11">
        <f>R18</f>
        <v>2763292</v>
      </c>
      <c r="T19" s="11">
        <v>1680564</v>
      </c>
      <c r="U19" s="11">
        <f>T18</f>
        <v>1424391</v>
      </c>
      <c r="V19" s="11">
        <f>U18</f>
        <v>1161959</v>
      </c>
      <c r="W19" s="11">
        <v>1820663</v>
      </c>
      <c r="X19" s="11">
        <v>1593059</v>
      </c>
      <c r="Y19" s="11">
        <f>X18</f>
        <v>1553362</v>
      </c>
      <c r="Z19" s="11">
        <v>599279</v>
      </c>
      <c r="AA19" s="11">
        <f>Z18</f>
        <v>515479</v>
      </c>
      <c r="AB19" s="11">
        <v>191686</v>
      </c>
      <c r="AC19" s="11">
        <f>AB18</f>
        <v>202708</v>
      </c>
      <c r="AD19" s="11">
        <v>55980</v>
      </c>
      <c r="AE19" s="11">
        <f>AD18</f>
        <v>66634</v>
      </c>
      <c r="AF19" s="11">
        <v>416211</v>
      </c>
      <c r="AG19" s="11">
        <f>AF18</f>
        <v>368380</v>
      </c>
      <c r="AH19" s="12">
        <v>1</v>
      </c>
      <c r="AI19" s="12">
        <v>1</v>
      </c>
      <c r="AJ19" s="11">
        <v>2958905</v>
      </c>
      <c r="AK19" s="11">
        <v>836914</v>
      </c>
      <c r="AL19" s="12">
        <v>0</v>
      </c>
      <c r="AM19" s="12">
        <v>0</v>
      </c>
      <c r="AN19" s="11">
        <f t="shared" si="4"/>
        <v>1300024</v>
      </c>
      <c r="AO19" s="11">
        <f t="shared" si="5"/>
        <v>1506759</v>
      </c>
      <c r="AP19" s="11">
        <v>864824</v>
      </c>
      <c r="AQ19" s="12">
        <f>AP18</f>
        <v>805833</v>
      </c>
    </row>
    <row r="20" spans="1:43" ht="15" customHeight="1" x14ac:dyDescent="0.25">
      <c r="A20" s="22">
        <v>7</v>
      </c>
      <c r="B20" s="22" t="s">
        <v>17</v>
      </c>
      <c r="C20" s="23" t="s">
        <v>18</v>
      </c>
      <c r="D20" s="12">
        <v>2017</v>
      </c>
      <c r="E20" s="12" t="s">
        <v>87</v>
      </c>
      <c r="F20" s="24">
        <v>954357</v>
      </c>
      <c r="G20" s="25">
        <v>14024486</v>
      </c>
      <c r="H20" s="11">
        <v>12596824</v>
      </c>
      <c r="I20" s="11">
        <v>5143894</v>
      </c>
      <c r="J20" s="11">
        <v>5058143</v>
      </c>
      <c r="K20" s="11">
        <v>4637979</v>
      </c>
      <c r="L20" s="11">
        <v>4583285</v>
      </c>
      <c r="M20" s="25">
        <v>10024540000000</v>
      </c>
      <c r="N20" s="25">
        <v>1</v>
      </c>
      <c r="O20" s="25">
        <v>3</v>
      </c>
      <c r="P20" s="28">
        <f>1091369+546494+15370</f>
        <v>1653233</v>
      </c>
      <c r="Q20" s="28">
        <f>752329+379790+24765</f>
        <v>1156884</v>
      </c>
      <c r="R20" s="28">
        <v>8974708</v>
      </c>
      <c r="S20" s="28">
        <v>6513980</v>
      </c>
      <c r="T20" s="28">
        <v>2265623</v>
      </c>
      <c r="U20" s="28">
        <v>6709085</v>
      </c>
      <c r="V20" s="28">
        <v>4888655</v>
      </c>
      <c r="W20" s="28">
        <v>8880592</v>
      </c>
      <c r="X20" s="28">
        <v>8540817</v>
      </c>
      <c r="Y20" s="28">
        <v>7372929</v>
      </c>
      <c r="Z20" s="11">
        <v>2348293</v>
      </c>
      <c r="AA20" s="11">
        <v>1899948</v>
      </c>
      <c r="AB20" s="28">
        <v>338455</v>
      </c>
      <c r="AC20" s="28">
        <v>293968</v>
      </c>
      <c r="AD20" s="28">
        <v>5386561</v>
      </c>
      <c r="AE20" s="28">
        <v>4592924</v>
      </c>
      <c r="AF20" s="28">
        <v>4637979</v>
      </c>
      <c r="AG20" s="28">
        <v>4583285</v>
      </c>
      <c r="AH20" s="11">
        <v>1</v>
      </c>
      <c r="AI20" s="11">
        <v>1</v>
      </c>
      <c r="AJ20" s="28">
        <v>9501190</v>
      </c>
      <c r="AK20" s="11">
        <v>1917900</v>
      </c>
      <c r="AL20" s="11">
        <v>0</v>
      </c>
      <c r="AM20" s="11">
        <v>0</v>
      </c>
      <c r="AN20" s="11">
        <f t="shared" si="4"/>
        <v>505915</v>
      </c>
      <c r="AO20" s="11">
        <f t="shared" si="5"/>
        <v>474858</v>
      </c>
      <c r="AP20" s="28">
        <v>125922</v>
      </c>
      <c r="AQ20" s="28">
        <v>126377</v>
      </c>
    </row>
    <row r="21" spans="1:43" ht="15" customHeight="1" x14ac:dyDescent="0.25">
      <c r="A21" s="22"/>
      <c r="B21" s="22"/>
      <c r="C21" s="23"/>
      <c r="D21" s="12">
        <v>2018</v>
      </c>
      <c r="E21" s="12"/>
      <c r="F21" s="24">
        <v>764380</v>
      </c>
      <c r="G21" s="25">
        <v>16339916</v>
      </c>
      <c r="H21" s="11">
        <f>G20</f>
        <v>14024486</v>
      </c>
      <c r="I21" s="25">
        <v>6203335</v>
      </c>
      <c r="J21" s="25">
        <f>I20</f>
        <v>5143894</v>
      </c>
      <c r="K21" s="25">
        <v>3300644</v>
      </c>
      <c r="L21" s="11">
        <v>4637979</v>
      </c>
      <c r="M21" s="25">
        <v>11556300000000</v>
      </c>
      <c r="N21" s="25">
        <v>1</v>
      </c>
      <c r="O21" s="25">
        <v>3</v>
      </c>
      <c r="P21" s="28">
        <f>950789+1072224+12980</f>
        <v>2035993</v>
      </c>
      <c r="Q21" s="11">
        <f>P20</f>
        <v>1653233</v>
      </c>
      <c r="R21" s="28">
        <v>8614889</v>
      </c>
      <c r="S21" s="28">
        <f>R20</f>
        <v>8974708</v>
      </c>
      <c r="T21" s="28">
        <v>2302760</v>
      </c>
      <c r="U21" s="28">
        <v>6312129</v>
      </c>
      <c r="V21" s="11">
        <f>U20</f>
        <v>6709085</v>
      </c>
      <c r="W21" s="28">
        <v>10136581</v>
      </c>
      <c r="X21" s="28">
        <v>9252529</v>
      </c>
      <c r="Y21" s="11">
        <f>X20</f>
        <v>8540817</v>
      </c>
      <c r="Z21" s="11">
        <v>2824073</v>
      </c>
      <c r="AA21" s="11">
        <f>Z20</f>
        <v>2348293</v>
      </c>
      <c r="AB21" s="28">
        <v>367312</v>
      </c>
      <c r="AC21" s="28">
        <f>AB20</f>
        <v>338455</v>
      </c>
      <c r="AD21" s="28">
        <v>8255656</v>
      </c>
      <c r="AE21" s="28">
        <f>AD20</f>
        <v>5386561</v>
      </c>
      <c r="AF21" s="28">
        <v>3300644</v>
      </c>
      <c r="AG21" s="28">
        <f>AF20</f>
        <v>4637979</v>
      </c>
      <c r="AH21" s="11">
        <v>1</v>
      </c>
      <c r="AI21" s="11">
        <v>1</v>
      </c>
      <c r="AJ21" s="11">
        <v>8629359</v>
      </c>
      <c r="AK21" s="11">
        <v>84833</v>
      </c>
      <c r="AL21" s="11">
        <v>0</v>
      </c>
      <c r="AM21" s="11">
        <v>0</v>
      </c>
      <c r="AN21" s="11">
        <f t="shared" si="4"/>
        <v>2902691</v>
      </c>
      <c r="AO21" s="11">
        <f t="shared" si="5"/>
        <v>505915</v>
      </c>
      <c r="AP21" s="28">
        <v>224334</v>
      </c>
      <c r="AQ21" s="28">
        <f>AP20</f>
        <v>125922</v>
      </c>
    </row>
    <row r="22" spans="1:43" ht="15" customHeight="1" x14ac:dyDescent="0.25">
      <c r="A22" s="22"/>
      <c r="B22" s="22"/>
      <c r="C22" s="23"/>
      <c r="D22" s="12">
        <v>2019</v>
      </c>
      <c r="E22" s="12"/>
      <c r="F22" s="24">
        <v>661034</v>
      </c>
      <c r="G22" s="25">
        <v>17363003</v>
      </c>
      <c r="H22" s="11">
        <f>G21</f>
        <v>16339916</v>
      </c>
      <c r="I22" s="25">
        <v>6551760</v>
      </c>
      <c r="J22" s="25">
        <f>I21</f>
        <v>6203335</v>
      </c>
      <c r="K22" s="25">
        <v>4027369</v>
      </c>
      <c r="L22" s="11">
        <v>4027369</v>
      </c>
      <c r="M22" s="25">
        <v>12000079000000</v>
      </c>
      <c r="N22" s="25">
        <v>1</v>
      </c>
      <c r="O22" s="25">
        <v>3</v>
      </c>
      <c r="P22" s="28">
        <f>946433+903195+7576</f>
        <v>1857204</v>
      </c>
      <c r="Q22" s="11">
        <f>P21</f>
        <v>2035993</v>
      </c>
      <c r="R22" s="28">
        <v>8533183</v>
      </c>
      <c r="S22" s="28">
        <f>R21</f>
        <v>8614889</v>
      </c>
      <c r="T22" s="28">
        <v>2094793</v>
      </c>
      <c r="U22" s="28">
        <v>6438390</v>
      </c>
      <c r="V22" s="11">
        <f>U21</f>
        <v>6312129</v>
      </c>
      <c r="W22" s="28">
        <v>10811243</v>
      </c>
      <c r="X22" s="28">
        <v>9748669</v>
      </c>
      <c r="Y22" s="11">
        <f>X21</f>
        <v>9252529</v>
      </c>
      <c r="Z22" s="11">
        <v>3256875</v>
      </c>
      <c r="AA22" s="11">
        <f>Z21</f>
        <v>2824073</v>
      </c>
      <c r="AB22" s="28">
        <v>422635</v>
      </c>
      <c r="AC22" s="28">
        <f>AB21</f>
        <v>367312</v>
      </c>
      <c r="AD22" s="28">
        <v>7972710</v>
      </c>
      <c r="AE22" s="28">
        <f>AD21</f>
        <v>8255656</v>
      </c>
      <c r="AF22" s="28">
        <v>4027369</v>
      </c>
      <c r="AG22" s="28">
        <f>AF21</f>
        <v>3300644</v>
      </c>
      <c r="AH22" s="11">
        <v>1</v>
      </c>
      <c r="AI22" s="11">
        <v>1</v>
      </c>
      <c r="AJ22" s="11">
        <v>8971317</v>
      </c>
      <c r="AK22" s="11">
        <v>1125423</v>
      </c>
      <c r="AL22" s="11">
        <v>0</v>
      </c>
      <c r="AM22" s="11">
        <v>0</v>
      </c>
      <c r="AN22" s="11">
        <f t="shared" si="4"/>
        <v>2524391</v>
      </c>
      <c r="AO22" s="11">
        <f t="shared" si="5"/>
        <v>2175966</v>
      </c>
      <c r="AP22" s="28">
        <v>400674</v>
      </c>
      <c r="AQ22" s="28">
        <f>AP21</f>
        <v>224334</v>
      </c>
    </row>
    <row r="23" spans="1:43" ht="15" customHeight="1" x14ac:dyDescent="0.25">
      <c r="A23" s="22">
        <v>8</v>
      </c>
      <c r="B23" s="22" t="s">
        <v>19</v>
      </c>
      <c r="C23" s="23" t="s">
        <v>20</v>
      </c>
      <c r="D23" s="12">
        <v>2017</v>
      </c>
      <c r="E23" s="12" t="s">
        <v>89</v>
      </c>
      <c r="F23" s="24">
        <v>179126382068</v>
      </c>
      <c r="G23" s="25">
        <v>2361807189430</v>
      </c>
      <c r="H23" s="11">
        <v>2185101038101</v>
      </c>
      <c r="I23" s="11">
        <v>1276478591542</v>
      </c>
      <c r="J23" s="11">
        <v>1174482404487</v>
      </c>
      <c r="K23" s="11">
        <v>259806845843</v>
      </c>
      <c r="L23" s="11">
        <v>220580384140</v>
      </c>
      <c r="M23" s="25">
        <v>503480853006</v>
      </c>
      <c r="N23" s="25">
        <v>2</v>
      </c>
      <c r="O23" s="25">
        <v>5</v>
      </c>
      <c r="P23" s="11">
        <f>378597630625+19872254601+2646918797</f>
        <v>401116804023</v>
      </c>
      <c r="Q23" s="28">
        <f>314905003168+9513125433+33012916858</f>
        <v>357431045459</v>
      </c>
      <c r="R23" s="11">
        <v>2706394847919</v>
      </c>
      <c r="S23" s="11">
        <v>2526776164168</v>
      </c>
      <c r="T23" s="11">
        <v>1006977089624</v>
      </c>
      <c r="U23" s="11">
        <v>1699417758295</v>
      </c>
      <c r="V23" s="11">
        <v>1582456317914</v>
      </c>
      <c r="W23" s="11">
        <v>1085328597888</v>
      </c>
      <c r="X23" s="11">
        <v>821338006060</v>
      </c>
      <c r="Y23" s="11">
        <v>723005694031</v>
      </c>
      <c r="Z23" s="11">
        <v>821338006060</v>
      </c>
      <c r="AA23" s="11">
        <v>723005694031</v>
      </c>
      <c r="AB23" s="11">
        <v>212668813623</v>
      </c>
      <c r="AC23" s="11">
        <v>190489640668</v>
      </c>
      <c r="AD23" s="11">
        <v>243674007163</v>
      </c>
      <c r="AE23" s="11">
        <v>181362146636</v>
      </c>
      <c r="AF23" s="11">
        <v>259806845843</v>
      </c>
      <c r="AG23" s="11">
        <v>220580384140</v>
      </c>
      <c r="AH23" s="11">
        <v>1</v>
      </c>
      <c r="AI23" s="11">
        <v>1</v>
      </c>
      <c r="AJ23" s="11">
        <v>2840159456318</v>
      </c>
      <c r="AK23" s="11">
        <v>363708428317</v>
      </c>
      <c r="AL23" s="11">
        <v>9701413281</v>
      </c>
      <c r="AM23" s="11">
        <v>4898885046</v>
      </c>
      <c r="AN23" s="11">
        <f t="shared" si="4"/>
        <v>1016671745699</v>
      </c>
      <c r="AO23" s="11">
        <f t="shared" si="5"/>
        <v>953902020347</v>
      </c>
      <c r="AP23" s="11">
        <v>431573583550</v>
      </c>
      <c r="AQ23" s="11">
        <v>298563784107</v>
      </c>
    </row>
    <row r="24" spans="1:43" ht="15" customHeight="1" x14ac:dyDescent="0.25">
      <c r="A24" s="22"/>
      <c r="B24" s="22"/>
      <c r="C24" s="23"/>
      <c r="D24" s="12">
        <v>2018</v>
      </c>
      <c r="E24" s="12"/>
      <c r="F24" s="24">
        <v>173049442756</v>
      </c>
      <c r="G24" s="25">
        <v>2445143511801</v>
      </c>
      <c r="H24" s="11">
        <f>G23</f>
        <v>2361807189430</v>
      </c>
      <c r="I24" s="25">
        <v>1333428311186</v>
      </c>
      <c r="J24" s="25">
        <f>I23</f>
        <v>1276478591542</v>
      </c>
      <c r="K24" s="25">
        <v>227508966451</v>
      </c>
      <c r="L24" s="11">
        <f>K23</f>
        <v>259806845843</v>
      </c>
      <c r="M24" s="25">
        <v>472680346662</v>
      </c>
      <c r="N24" s="25">
        <v>2</v>
      </c>
      <c r="O24" s="25">
        <v>5</v>
      </c>
      <c r="P24" s="11">
        <f>372943508175+14257300359+3433372190</f>
        <v>390634180724</v>
      </c>
      <c r="Q24" s="28">
        <f>P23</f>
        <v>401116804023</v>
      </c>
      <c r="R24" s="11">
        <v>2648754344347</v>
      </c>
      <c r="S24" s="11">
        <f>R23</f>
        <v>2706394847919</v>
      </c>
      <c r="T24" s="11">
        <v>900966428412</v>
      </c>
      <c r="U24" s="11">
        <v>1747787915935</v>
      </c>
      <c r="V24" s="11">
        <f>U23</f>
        <v>1699417758295</v>
      </c>
      <c r="W24" s="11">
        <v>1111715200615</v>
      </c>
      <c r="X24" s="11">
        <v>938743858761</v>
      </c>
      <c r="Y24" s="11">
        <f>X23</f>
        <v>821338006060</v>
      </c>
      <c r="Z24" s="11">
        <v>938743858761</v>
      </c>
      <c r="AA24" s="11">
        <f>Z23</f>
        <v>821338006060</v>
      </c>
      <c r="AB24" s="11">
        <v>229749812470</v>
      </c>
      <c r="AC24" s="11">
        <f>AB23</f>
        <v>212668813623</v>
      </c>
      <c r="AD24" s="11">
        <v>245171380211</v>
      </c>
      <c r="AE24" s="11">
        <f>AD23</f>
        <v>243674007163</v>
      </c>
      <c r="AF24" s="11">
        <v>227508966451</v>
      </c>
      <c r="AG24" s="11">
        <f>AF23</f>
        <v>259806845843</v>
      </c>
      <c r="AH24" s="11">
        <v>1</v>
      </c>
      <c r="AI24" s="11">
        <v>1</v>
      </c>
      <c r="AJ24" s="11">
        <v>2858304304969</v>
      </c>
      <c r="AK24" s="11">
        <v>193367434215</v>
      </c>
      <c r="AL24" s="11">
        <v>1401851658</v>
      </c>
      <c r="AM24" s="11">
        <f>AL23</f>
        <v>9701413281</v>
      </c>
      <c r="AN24" s="11">
        <f t="shared" si="4"/>
        <v>1105919344735</v>
      </c>
      <c r="AO24" s="11">
        <f t="shared" si="5"/>
        <v>1016671745699</v>
      </c>
      <c r="AP24" s="11">
        <v>369170524762</v>
      </c>
      <c r="AQ24" s="11">
        <f>AP23</f>
        <v>431573583550</v>
      </c>
    </row>
    <row r="25" spans="1:43" ht="15" customHeight="1" x14ac:dyDescent="0.25">
      <c r="A25" s="22"/>
      <c r="B25" s="22"/>
      <c r="C25" s="23"/>
      <c r="D25" s="12">
        <v>2019</v>
      </c>
      <c r="E25" s="12"/>
      <c r="F25" s="24">
        <v>145149344561</v>
      </c>
      <c r="G25" s="25">
        <v>2551192620939</v>
      </c>
      <c r="H25" s="11">
        <f>G24</f>
        <v>2445143511801</v>
      </c>
      <c r="I25" s="25">
        <v>1428191709308</v>
      </c>
      <c r="J25" s="25">
        <f>I24</f>
        <v>1333428311186</v>
      </c>
      <c r="K25" s="25">
        <v>255852750863</v>
      </c>
      <c r="L25" s="11">
        <f>K24</f>
        <v>227508966451</v>
      </c>
      <c r="M25" s="25">
        <v>532048803777</v>
      </c>
      <c r="N25" s="25">
        <v>2</v>
      </c>
      <c r="O25" s="25">
        <v>5</v>
      </c>
      <c r="P25" s="11">
        <f>426033343382+24770926780+2628618860</f>
        <v>453432889022</v>
      </c>
      <c r="Q25" s="28">
        <f>P24</f>
        <v>390634180724</v>
      </c>
      <c r="R25" s="11">
        <v>2804151670769</v>
      </c>
      <c r="S25" s="11">
        <f>R24</f>
        <v>2648754344347</v>
      </c>
      <c r="T25" s="11">
        <v>930213911094</v>
      </c>
      <c r="U25" s="11">
        <v>1873937759675</v>
      </c>
      <c r="V25" s="11">
        <f>U24</f>
        <v>1747787915935</v>
      </c>
      <c r="W25" s="11">
        <v>1123000911631</v>
      </c>
      <c r="X25" s="11">
        <v>1077638318376</v>
      </c>
      <c r="Y25" s="11">
        <f>X24</f>
        <v>938743858761</v>
      </c>
      <c r="Z25" s="11">
        <v>1077638318376</v>
      </c>
      <c r="AA25" s="11">
        <f>Z24</f>
        <v>938743858761</v>
      </c>
      <c r="AB25" s="11">
        <v>229289192021</v>
      </c>
      <c r="AC25" s="11">
        <f>AB24</f>
        <v>229749812470</v>
      </c>
      <c r="AD25" s="11">
        <v>276196052914</v>
      </c>
      <c r="AE25" s="11">
        <f>AD24</f>
        <v>245171380211</v>
      </c>
      <c r="AF25" s="11">
        <v>255852750863</v>
      </c>
      <c r="AG25" s="11">
        <f>AF24</f>
        <v>227508966451</v>
      </c>
      <c r="AH25" s="11">
        <v>1</v>
      </c>
      <c r="AI25" s="11">
        <v>1</v>
      </c>
      <c r="AJ25" s="11">
        <v>2929581939973</v>
      </c>
      <c r="AK25" s="11">
        <v>126569066962</v>
      </c>
      <c r="AL25" s="11">
        <v>6841562283</v>
      </c>
      <c r="AM25" s="11">
        <f>AL24</f>
        <v>1401851658</v>
      </c>
      <c r="AN25" s="11">
        <f t="shared" si="4"/>
        <v>1172338958445</v>
      </c>
      <c r="AO25" s="11">
        <f t="shared" si="5"/>
        <v>1105919344735</v>
      </c>
      <c r="AP25" s="11">
        <v>285755312130</v>
      </c>
      <c r="AQ25" s="11">
        <f>AP24</f>
        <v>369170524762</v>
      </c>
    </row>
    <row r="26" spans="1:43" ht="15" customHeight="1" x14ac:dyDescent="0.25">
      <c r="A26" s="22">
        <v>9</v>
      </c>
      <c r="B26" s="22" t="s">
        <v>21</v>
      </c>
      <c r="C26" s="23" t="s">
        <v>22</v>
      </c>
      <c r="D26" s="12">
        <v>2017</v>
      </c>
      <c r="E26" s="12" t="s">
        <v>89</v>
      </c>
      <c r="F26" s="24">
        <v>557339581996</v>
      </c>
      <c r="G26" s="25">
        <v>7434900309021</v>
      </c>
      <c r="H26" s="11">
        <v>6585807349438</v>
      </c>
      <c r="I26" s="11">
        <v>5049363864387</v>
      </c>
      <c r="J26" s="11">
        <v>4385083916291</v>
      </c>
      <c r="K26" s="11">
        <v>2002621403597</v>
      </c>
      <c r="L26" s="11">
        <v>1653413220121</v>
      </c>
      <c r="M26" s="25">
        <v>2352891899876</v>
      </c>
      <c r="N26" s="25">
        <v>2</v>
      </c>
      <c r="O26" s="25">
        <v>5</v>
      </c>
      <c r="P26" s="11">
        <f>1113293220788+1424106209</f>
        <v>1114717326997</v>
      </c>
      <c r="Q26" s="28">
        <f>951172121759+385677186</f>
        <v>951557798945</v>
      </c>
      <c r="R26" s="11">
        <v>9565462045199</v>
      </c>
      <c r="S26" s="11">
        <v>9138238993842</v>
      </c>
      <c r="T26" s="11">
        <v>3658175142200</v>
      </c>
      <c r="U26" s="11">
        <v>5907286902999</v>
      </c>
      <c r="V26" s="11">
        <v>5653874822666</v>
      </c>
      <c r="W26" s="11">
        <v>2385536444634</v>
      </c>
      <c r="X26" s="11">
        <v>1984179208981</v>
      </c>
      <c r="Y26" s="11">
        <v>2761679961190</v>
      </c>
      <c r="Z26" s="11">
        <v>1066178320662</v>
      </c>
      <c r="AA26" s="11">
        <v>954935748917</v>
      </c>
      <c r="AB26" s="11">
        <v>547288289015</v>
      </c>
      <c r="AC26" s="11">
        <v>502897606337</v>
      </c>
      <c r="AD26" s="11">
        <v>350270496279</v>
      </c>
      <c r="AE26" s="11">
        <v>297120986625</v>
      </c>
      <c r="AF26" s="11">
        <v>2002621403597</v>
      </c>
      <c r="AG26" s="11">
        <v>1653413220121</v>
      </c>
      <c r="AH26" s="11">
        <v>1</v>
      </c>
      <c r="AI26" s="11">
        <v>1</v>
      </c>
      <c r="AJ26" s="11">
        <v>9283545373175</v>
      </c>
      <c r="AK26" s="11">
        <v>544164330634</v>
      </c>
      <c r="AL26" s="11">
        <v>10234008763</v>
      </c>
      <c r="AM26" s="11">
        <v>3460552976</v>
      </c>
      <c r="AN26" s="11">
        <f t="shared" si="4"/>
        <v>3046742460790</v>
      </c>
      <c r="AO26" s="11">
        <f t="shared" si="5"/>
        <v>2731670696170</v>
      </c>
      <c r="AP26" s="11">
        <v>1973276106331</v>
      </c>
      <c r="AQ26" s="11">
        <v>1686270815296</v>
      </c>
    </row>
    <row r="27" spans="1:43" ht="15" customHeight="1" x14ac:dyDescent="0.25">
      <c r="A27" s="22"/>
      <c r="B27" s="22"/>
      <c r="C27" s="23"/>
      <c r="D27" s="12">
        <v>2018</v>
      </c>
      <c r="E27" s="12"/>
      <c r="F27" s="24">
        <v>595154912874</v>
      </c>
      <c r="G27" s="25">
        <v>7869975060326</v>
      </c>
      <c r="H27" s="11">
        <f>G26</f>
        <v>7434900309021</v>
      </c>
      <c r="I27" s="25">
        <v>5130662268849</v>
      </c>
      <c r="J27" s="25">
        <f>I26</f>
        <v>5049363864387</v>
      </c>
      <c r="K27" s="25">
        <v>2039075034339</v>
      </c>
      <c r="L27" s="11">
        <f>K26</f>
        <v>2002621403597</v>
      </c>
      <c r="M27" s="25">
        <v>2437126989832</v>
      </c>
      <c r="N27" s="25">
        <v>2</v>
      </c>
      <c r="O27" s="25">
        <v>5</v>
      </c>
      <c r="P27" s="11">
        <f>1171801034437+2462139003</f>
        <v>1174263173440</v>
      </c>
      <c r="Q27" s="28">
        <f>P26</f>
        <v>1114717326997</v>
      </c>
      <c r="R27" s="11">
        <v>10088118830780</v>
      </c>
      <c r="S27" s="11">
        <f>R26</f>
        <v>9565462045199</v>
      </c>
      <c r="T27" s="11">
        <v>3841582210698</v>
      </c>
      <c r="U27" s="11">
        <v>6246536620082</v>
      </c>
      <c r="V27" s="11">
        <f>U26</f>
        <v>5907286902999</v>
      </c>
      <c r="W27" s="11">
        <v>2739312791477</v>
      </c>
      <c r="X27" s="11">
        <v>2271379683420</v>
      </c>
      <c r="Y27" s="11">
        <f>X26</f>
        <v>1984179208981</v>
      </c>
      <c r="Z27" s="11">
        <v>1188178684270</v>
      </c>
      <c r="AA27" s="11">
        <f>Z26</f>
        <v>1066178320662</v>
      </c>
      <c r="AB27" s="11">
        <v>563767602908</v>
      </c>
      <c r="AC27" s="11">
        <f>AB26</f>
        <v>547288289015</v>
      </c>
      <c r="AD27" s="11">
        <v>398051955493</v>
      </c>
      <c r="AE27" s="11">
        <f>AD26</f>
        <v>350270496279</v>
      </c>
      <c r="AF27" s="11">
        <v>2039075034339</v>
      </c>
      <c r="AG27" s="11">
        <f>AF26</f>
        <v>2002621403597</v>
      </c>
      <c r="AH27" s="11">
        <v>1</v>
      </c>
      <c r="AI27" s="11">
        <v>1</v>
      </c>
      <c r="AJ27" s="11">
        <v>10001416139413</v>
      </c>
      <c r="AK27" s="11">
        <v>389088123975</v>
      </c>
      <c r="AL27" s="11">
        <v>1931195825</v>
      </c>
      <c r="AM27" s="11">
        <f>AL26</f>
        <v>10234008763</v>
      </c>
      <c r="AN27" s="11">
        <f t="shared" si="4"/>
        <v>3091587234510</v>
      </c>
      <c r="AO27" s="11">
        <f t="shared" si="5"/>
        <v>3046742460790</v>
      </c>
      <c r="AP27" s="11">
        <v>1903177852578</v>
      </c>
      <c r="AQ27" s="11">
        <f>AP26</f>
        <v>1973276106331</v>
      </c>
    </row>
    <row r="28" spans="1:43" ht="15" customHeight="1" x14ac:dyDescent="0.25">
      <c r="A28" s="22"/>
      <c r="B28" s="22"/>
      <c r="C28" s="23"/>
      <c r="D28" s="12">
        <v>2019</v>
      </c>
      <c r="E28" s="12"/>
      <c r="F28" s="24">
        <v>540378145887</v>
      </c>
      <c r="G28" s="25">
        <v>8372769580743</v>
      </c>
      <c r="H28" s="11">
        <f>G27</f>
        <v>7869975060326</v>
      </c>
      <c r="I28" s="25">
        <v>5432638388008</v>
      </c>
      <c r="J28" s="25">
        <f>I27</f>
        <v>5130662268849</v>
      </c>
      <c r="K28" s="25">
        <v>1953608306055</v>
      </c>
      <c r="L28" s="11">
        <f>K27</f>
        <v>2039075034339</v>
      </c>
      <c r="M28" s="25">
        <v>2581733610850</v>
      </c>
      <c r="N28" s="25">
        <v>2</v>
      </c>
      <c r="O28" s="25">
        <v>5</v>
      </c>
      <c r="P28" s="11">
        <f>1149590796666+21040230013</f>
        <v>1170631026679</v>
      </c>
      <c r="Q28" s="28">
        <f>P27</f>
        <v>1174263173440</v>
      </c>
      <c r="R28" s="11">
        <v>10993842057747</v>
      </c>
      <c r="S28" s="11">
        <f>R27</f>
        <v>10088118830780</v>
      </c>
      <c r="T28" s="11">
        <v>4241529318712</v>
      </c>
      <c r="U28" s="11">
        <v>6752312739035</v>
      </c>
      <c r="V28" s="11">
        <f>U27</f>
        <v>6246536620082</v>
      </c>
      <c r="W28" s="11">
        <v>2940131192735</v>
      </c>
      <c r="X28" s="11">
        <v>2370214050251</v>
      </c>
      <c r="Y28" s="11">
        <f>X27</f>
        <v>2271379683420</v>
      </c>
      <c r="Z28" s="11">
        <v>1334307001601</v>
      </c>
      <c r="AA28" s="11">
        <f>Z27</f>
        <v>1188178684270</v>
      </c>
      <c r="AB28" s="11">
        <v>572413632822</v>
      </c>
      <c r="AC28" s="11">
        <f>AB27</f>
        <v>563767602908</v>
      </c>
      <c r="AD28" s="11">
        <v>628125304795</v>
      </c>
      <c r="AE28" s="11">
        <f>AD27</f>
        <v>398051955493</v>
      </c>
      <c r="AF28" s="11">
        <v>1953608306055</v>
      </c>
      <c r="AG28" s="11">
        <f>AF27</f>
        <v>2039075034339</v>
      </c>
      <c r="AH28" s="11">
        <v>1</v>
      </c>
      <c r="AI28" s="11">
        <v>1</v>
      </c>
      <c r="AJ28" s="11">
        <v>11006222109243</v>
      </c>
      <c r="AK28" s="11">
        <v>889775270261</v>
      </c>
      <c r="AL28" s="11">
        <v>10017198139</v>
      </c>
      <c r="AM28" s="11">
        <f>AL27</f>
        <v>1931195825</v>
      </c>
      <c r="AN28" s="11">
        <f t="shared" si="4"/>
        <v>3479030081953</v>
      </c>
      <c r="AO28" s="11">
        <f t="shared" si="5"/>
        <v>3091587234510</v>
      </c>
      <c r="AP28" s="11">
        <v>2254216067576</v>
      </c>
      <c r="AQ28" s="11">
        <f>AP27</f>
        <v>1903177852578</v>
      </c>
    </row>
    <row r="29" spans="1:43" ht="15" customHeight="1" x14ac:dyDescent="0.25">
      <c r="A29" s="22">
        <v>10</v>
      </c>
      <c r="B29" s="22" t="s">
        <v>23</v>
      </c>
      <c r="C29" s="23" t="s">
        <v>27</v>
      </c>
      <c r="D29" s="12">
        <v>2017</v>
      </c>
      <c r="E29" s="12" t="s">
        <v>87</v>
      </c>
      <c r="F29" s="24">
        <v>711681</v>
      </c>
      <c r="G29" s="25">
        <v>5186940</v>
      </c>
      <c r="H29" s="11">
        <v>4239200</v>
      </c>
      <c r="I29" s="11">
        <v>3439990</v>
      </c>
      <c r="J29" s="11">
        <v>2874822</v>
      </c>
      <c r="K29" s="28">
        <v>820625</v>
      </c>
      <c r="L29" s="28">
        <v>593526</v>
      </c>
      <c r="M29" s="25">
        <v>978185</v>
      </c>
      <c r="N29" s="25">
        <v>2</v>
      </c>
      <c r="O29" s="25">
        <v>4</v>
      </c>
      <c r="P29" s="11">
        <f>504629+33395</f>
        <v>538024</v>
      </c>
      <c r="Q29" s="28">
        <f>462423+41958</f>
        <v>504381</v>
      </c>
      <c r="R29" s="11">
        <v>4879559</v>
      </c>
      <c r="S29" s="11">
        <v>4685988</v>
      </c>
      <c r="T29" s="11">
        <v>1822878</v>
      </c>
      <c r="U29" s="11">
        <v>3056681</v>
      </c>
      <c r="V29" s="11">
        <v>3052883</v>
      </c>
      <c r="W29" s="11">
        <v>1746950</v>
      </c>
      <c r="X29" s="11">
        <v>1336398</v>
      </c>
      <c r="Y29" s="11">
        <v>1042072</v>
      </c>
      <c r="Z29" s="11">
        <v>1451518</v>
      </c>
      <c r="AA29" s="11">
        <v>1307324</v>
      </c>
      <c r="AB29" s="11">
        <v>172082</v>
      </c>
      <c r="AC29" s="11">
        <v>136487</v>
      </c>
      <c r="AD29" s="11">
        <v>157560</v>
      </c>
      <c r="AE29" s="11">
        <v>156441</v>
      </c>
      <c r="AF29" s="11">
        <v>820625</v>
      </c>
      <c r="AG29" s="11">
        <v>593526</v>
      </c>
      <c r="AH29" s="11">
        <v>0</v>
      </c>
      <c r="AI29" s="11">
        <v>1</v>
      </c>
      <c r="AJ29" s="11">
        <v>5193609</v>
      </c>
      <c r="AK29" s="11">
        <v>1072516</v>
      </c>
      <c r="AL29" s="11">
        <v>0</v>
      </c>
      <c r="AM29" s="11">
        <v>0</v>
      </c>
      <c r="AN29" s="11">
        <f t="shared" si="4"/>
        <v>2619365</v>
      </c>
      <c r="AO29" s="11">
        <f t="shared" si="5"/>
        <v>2281296</v>
      </c>
      <c r="AP29" s="11">
        <v>2120400</v>
      </c>
      <c r="AQ29" s="11">
        <v>1521372</v>
      </c>
    </row>
    <row r="30" spans="1:43" ht="15" customHeight="1" x14ac:dyDescent="0.25">
      <c r="A30" s="22"/>
      <c r="B30" s="22"/>
      <c r="C30" s="23"/>
      <c r="D30" s="12">
        <v>2018</v>
      </c>
      <c r="E30" s="12"/>
      <c r="F30" s="24">
        <v>701607</v>
      </c>
      <c r="G30" s="25">
        <v>5555871</v>
      </c>
      <c r="H30" s="11">
        <f>G29</f>
        <v>5186940</v>
      </c>
      <c r="I30" s="25">
        <v>2793521</v>
      </c>
      <c r="J30" s="25">
        <f>I29</f>
        <v>3439990</v>
      </c>
      <c r="K30" s="25">
        <v>635161</v>
      </c>
      <c r="L30" s="11">
        <f>K29</f>
        <v>820625</v>
      </c>
      <c r="M30" s="25">
        <v>780915</v>
      </c>
      <c r="N30" s="25">
        <v>2</v>
      </c>
      <c r="O30" s="25">
        <v>4</v>
      </c>
      <c r="P30" s="11">
        <f>530498+30121</f>
        <v>560619</v>
      </c>
      <c r="Q30" s="28">
        <f>P29</f>
        <v>538024</v>
      </c>
      <c r="R30" s="11">
        <v>5472882</v>
      </c>
      <c r="S30" s="11">
        <f>R29</f>
        <v>4879559</v>
      </c>
      <c r="T30" s="11">
        <v>2349718</v>
      </c>
      <c r="U30" s="11">
        <v>3516606</v>
      </c>
      <c r="V30" s="11">
        <f>U29</f>
        <v>3056681</v>
      </c>
      <c r="W30" s="11">
        <v>2762350</v>
      </c>
      <c r="X30" s="11">
        <v>1453135</v>
      </c>
      <c r="Y30" s="11">
        <f>X29</f>
        <v>1336398</v>
      </c>
      <c r="Z30" s="11">
        <v>1565521</v>
      </c>
      <c r="AA30" s="11">
        <f>Z29</f>
        <v>1451518</v>
      </c>
      <c r="AB30" s="11">
        <v>196900</v>
      </c>
      <c r="AC30" s="11">
        <f>AB29</f>
        <v>172082</v>
      </c>
      <c r="AD30" s="11">
        <v>145754</v>
      </c>
      <c r="AE30" s="11">
        <f>AD29</f>
        <v>157560</v>
      </c>
      <c r="AF30" s="11">
        <v>635161</v>
      </c>
      <c r="AG30" s="11">
        <f>AF29</f>
        <v>820625</v>
      </c>
      <c r="AH30" s="11">
        <v>0</v>
      </c>
      <c r="AI30" s="11">
        <v>1</v>
      </c>
      <c r="AJ30" s="11">
        <v>5991530</v>
      </c>
      <c r="AK30" s="11">
        <v>575823</v>
      </c>
      <c r="AL30" s="11">
        <v>0</v>
      </c>
      <c r="AM30" s="11">
        <v>0</v>
      </c>
      <c r="AN30" s="11">
        <f t="shared" si="4"/>
        <v>2158360</v>
      </c>
      <c r="AO30" s="11">
        <f t="shared" si="5"/>
        <v>2619365</v>
      </c>
      <c r="AP30" s="11">
        <v>1444310</v>
      </c>
      <c r="AQ30" s="11">
        <f>AP29</f>
        <v>2120400</v>
      </c>
    </row>
    <row r="31" spans="1:43" ht="15" customHeight="1" x14ac:dyDescent="0.25">
      <c r="A31" s="22"/>
      <c r="B31" s="22"/>
      <c r="C31" s="23"/>
      <c r="D31" s="12">
        <v>2019</v>
      </c>
      <c r="E31" s="12"/>
      <c r="F31" s="24">
        <v>1035865</v>
      </c>
      <c r="G31" s="25">
        <v>6608422</v>
      </c>
      <c r="H31" s="11">
        <f>G30</f>
        <v>5555871</v>
      </c>
      <c r="I31" s="25">
        <v>3716641</v>
      </c>
      <c r="J31" s="25">
        <f>I30</f>
        <v>2793521</v>
      </c>
      <c r="K31" s="25">
        <v>836314</v>
      </c>
      <c r="L31" s="11">
        <f>K30</f>
        <v>635161</v>
      </c>
      <c r="M31" s="25">
        <v>953283</v>
      </c>
      <c r="N31" s="25">
        <v>2</v>
      </c>
      <c r="O31" s="25">
        <v>4</v>
      </c>
      <c r="P31" s="11">
        <f>613245+38822</f>
        <v>652067</v>
      </c>
      <c r="Q31" s="28">
        <f>P30</f>
        <v>560619</v>
      </c>
      <c r="R31" s="11">
        <v>6241419</v>
      </c>
      <c r="S31" s="11">
        <f>R30</f>
        <v>5472882</v>
      </c>
      <c r="T31" s="11">
        <v>1956276</v>
      </c>
      <c r="U31" s="11">
        <v>3891701</v>
      </c>
      <c r="V31" s="11">
        <f>U30</f>
        <v>3516606</v>
      </c>
      <c r="W31" s="11">
        <v>2891781</v>
      </c>
      <c r="X31" s="11">
        <v>1556666</v>
      </c>
      <c r="Y31" s="11">
        <f>X30</f>
        <v>1453135</v>
      </c>
      <c r="Z31" s="11">
        <v>1666748</v>
      </c>
      <c r="AA31" s="11">
        <f>Z30</f>
        <v>1565521</v>
      </c>
      <c r="AB31" s="11">
        <v>202883</v>
      </c>
      <c r="AC31" s="11">
        <f>AB30</f>
        <v>196900</v>
      </c>
      <c r="AD31" s="11">
        <v>116969</v>
      </c>
      <c r="AE31" s="11">
        <f>AD30</f>
        <v>145754</v>
      </c>
      <c r="AF31" s="11">
        <v>836314</v>
      </c>
      <c r="AG31" s="11">
        <f>AF30</f>
        <v>635161</v>
      </c>
      <c r="AH31" s="11">
        <v>0</v>
      </c>
      <c r="AI31" s="11">
        <v>1</v>
      </c>
      <c r="AJ31" s="11">
        <v>6780452</v>
      </c>
      <c r="AK31" s="11">
        <v>1096817</v>
      </c>
      <c r="AL31" s="11">
        <v>0</v>
      </c>
      <c r="AM31" s="11">
        <v>0</v>
      </c>
      <c r="AN31" s="11">
        <f t="shared" si="4"/>
        <v>2880327</v>
      </c>
      <c r="AO31" s="11">
        <f t="shared" si="5"/>
        <v>2158360</v>
      </c>
      <c r="AP31" s="11">
        <v>2040591</v>
      </c>
      <c r="AQ31" s="11">
        <f>AP30</f>
        <v>1444310</v>
      </c>
    </row>
    <row r="32" spans="1:43" x14ac:dyDescent="0.25">
      <c r="A32" s="22">
        <v>11</v>
      </c>
      <c r="B32" s="22" t="s">
        <v>31</v>
      </c>
      <c r="C32" s="23" t="s">
        <v>32</v>
      </c>
      <c r="D32" s="12">
        <v>2017</v>
      </c>
      <c r="E32" s="12" t="s">
        <v>87</v>
      </c>
      <c r="F32" s="24">
        <v>38242</v>
      </c>
      <c r="G32" s="25">
        <v>840236</v>
      </c>
      <c r="H32" s="11">
        <v>767479</v>
      </c>
      <c r="I32" s="25">
        <v>294244</v>
      </c>
      <c r="J32" s="25">
        <v>319614</v>
      </c>
      <c r="K32" s="25">
        <v>244888</v>
      </c>
      <c r="L32" s="28">
        <v>195466</v>
      </c>
      <c r="M32" s="25">
        <v>417225</v>
      </c>
      <c r="N32" s="25">
        <v>1</v>
      </c>
      <c r="O32" s="11">
        <v>3</v>
      </c>
      <c r="P32" s="11">
        <f>140594+1843</f>
        <v>142437</v>
      </c>
      <c r="Q32" s="28">
        <f>152608+1449</f>
        <v>154057</v>
      </c>
      <c r="R32" s="11">
        <v>814490</v>
      </c>
      <c r="S32" s="11">
        <v>887663</v>
      </c>
      <c r="T32" s="11">
        <v>438944</v>
      </c>
      <c r="U32" s="11">
        <v>375546</v>
      </c>
      <c r="V32" s="11">
        <v>427828</v>
      </c>
      <c r="W32" s="11">
        <v>545992</v>
      </c>
      <c r="X32" s="11">
        <v>478184</v>
      </c>
      <c r="Y32" s="11">
        <v>374177</v>
      </c>
      <c r="Z32" s="11">
        <v>289844</v>
      </c>
      <c r="AA32" s="11">
        <v>255684</v>
      </c>
      <c r="AB32" s="11">
        <v>82415</v>
      </c>
      <c r="AC32" s="11">
        <v>84977</v>
      </c>
      <c r="AD32" s="11">
        <v>172337</v>
      </c>
      <c r="AE32" s="11">
        <v>187625</v>
      </c>
      <c r="AF32" s="11">
        <v>244888</v>
      </c>
      <c r="AG32" s="11">
        <v>195466</v>
      </c>
      <c r="AH32" s="11">
        <v>0</v>
      </c>
      <c r="AI32" s="11">
        <v>1</v>
      </c>
      <c r="AJ32" s="11">
        <v>826239</v>
      </c>
      <c r="AK32" s="11">
        <v>87199</v>
      </c>
      <c r="AL32" s="11">
        <v>0</v>
      </c>
      <c r="AM32" s="11">
        <v>0</v>
      </c>
      <c r="AN32" s="11">
        <f t="shared" si="4"/>
        <v>49356</v>
      </c>
      <c r="AO32" s="11">
        <f t="shared" si="5"/>
        <v>124148</v>
      </c>
      <c r="AP32" s="11">
        <v>25507</v>
      </c>
      <c r="AQ32" s="11">
        <v>35316</v>
      </c>
    </row>
    <row r="33" spans="1:43" x14ac:dyDescent="0.25">
      <c r="A33" s="22"/>
      <c r="B33" s="22"/>
      <c r="C33" s="23"/>
      <c r="D33" s="12">
        <v>2018</v>
      </c>
      <c r="E33" s="12"/>
      <c r="F33" s="24">
        <v>52958</v>
      </c>
      <c r="G33" s="25">
        <v>881275</v>
      </c>
      <c r="H33" s="11">
        <f>G32</f>
        <v>840236</v>
      </c>
      <c r="I33" s="25">
        <v>364138</v>
      </c>
      <c r="J33" s="25">
        <f>I32</f>
        <v>294244</v>
      </c>
      <c r="K33" s="25">
        <v>262397</v>
      </c>
      <c r="L33" s="11">
        <f>K32</f>
        <v>244888</v>
      </c>
      <c r="M33" s="25">
        <v>399361</v>
      </c>
      <c r="N33" s="25">
        <v>1</v>
      </c>
      <c r="O33" s="11">
        <v>3</v>
      </c>
      <c r="P33" s="11">
        <f>131862+2250</f>
        <v>134112</v>
      </c>
      <c r="Q33" s="28">
        <f>P32</f>
        <v>142437</v>
      </c>
      <c r="R33" s="11">
        <v>804302</v>
      </c>
      <c r="S33" s="11">
        <f>R32</f>
        <v>814490</v>
      </c>
      <c r="T33" s="11">
        <v>389090</v>
      </c>
      <c r="U33" s="11">
        <v>415212</v>
      </c>
      <c r="V33" s="11">
        <f>U32</f>
        <v>375546</v>
      </c>
      <c r="W33" s="11">
        <v>517137</v>
      </c>
      <c r="X33" s="11">
        <v>447249</v>
      </c>
      <c r="Y33" s="11">
        <f>X32</f>
        <v>478184</v>
      </c>
      <c r="Z33" s="11">
        <v>328039</v>
      </c>
      <c r="AA33" s="11">
        <f>Z32</f>
        <v>289844</v>
      </c>
      <c r="AB33" s="11">
        <v>78475</v>
      </c>
      <c r="AC33" s="11">
        <f>AB32</f>
        <v>82415</v>
      </c>
      <c r="AD33" s="11">
        <v>136964</v>
      </c>
      <c r="AE33" s="11">
        <f>AD32</f>
        <v>172337</v>
      </c>
      <c r="AF33" s="11">
        <v>262397</v>
      </c>
      <c r="AG33" s="11">
        <f>AF32</f>
        <v>244888</v>
      </c>
      <c r="AH33" s="11">
        <v>0</v>
      </c>
      <c r="AI33" s="11">
        <v>1</v>
      </c>
      <c r="AJ33" s="11">
        <v>812844</v>
      </c>
      <c r="AK33" s="11">
        <v>146588</v>
      </c>
      <c r="AL33" s="11">
        <v>0</v>
      </c>
      <c r="AM33" s="11">
        <v>0</v>
      </c>
      <c r="AN33" s="11">
        <f t="shared" si="4"/>
        <v>101741</v>
      </c>
      <c r="AO33" s="11">
        <f t="shared" si="5"/>
        <v>49356</v>
      </c>
      <c r="AP33" s="11">
        <v>102273</v>
      </c>
      <c r="AQ33" s="11">
        <f>AP32</f>
        <v>25507</v>
      </c>
    </row>
    <row r="34" spans="1:43" x14ac:dyDescent="0.25">
      <c r="A34" s="22"/>
      <c r="B34" s="22"/>
      <c r="C34" s="23"/>
      <c r="D34" s="12">
        <v>2019</v>
      </c>
      <c r="E34" s="12"/>
      <c r="F34" s="24">
        <v>83889</v>
      </c>
      <c r="G34" s="25">
        <v>822375</v>
      </c>
      <c r="H34" s="11">
        <f>G33</f>
        <v>881275</v>
      </c>
      <c r="I34" s="25">
        <v>351120</v>
      </c>
      <c r="J34" s="25">
        <f>I33</f>
        <v>364138</v>
      </c>
      <c r="K34" s="25">
        <v>175191</v>
      </c>
      <c r="L34" s="11">
        <f>K33</f>
        <v>262397</v>
      </c>
      <c r="M34" s="25">
        <v>254438</v>
      </c>
      <c r="N34" s="25">
        <v>1</v>
      </c>
      <c r="O34" s="11">
        <v>3</v>
      </c>
      <c r="P34" s="11">
        <f>134404+2252</f>
        <v>136656</v>
      </c>
      <c r="Q34" s="28">
        <f>P33</f>
        <v>134112</v>
      </c>
      <c r="R34" s="11">
        <v>834330</v>
      </c>
      <c r="S34" s="11">
        <f>R33</f>
        <v>804302</v>
      </c>
      <c r="T34" s="11">
        <v>417281</v>
      </c>
      <c r="U34" s="11">
        <v>417281</v>
      </c>
      <c r="V34" s="11">
        <f>U33</f>
        <v>415212</v>
      </c>
      <c r="W34" s="11">
        <v>471255</v>
      </c>
      <c r="X34" s="11">
        <v>405448</v>
      </c>
      <c r="Y34" s="11">
        <f>X33</f>
        <v>447249</v>
      </c>
      <c r="Z34" s="11">
        <v>346381</v>
      </c>
      <c r="AA34" s="11">
        <f>Z33</f>
        <v>328039</v>
      </c>
      <c r="AB34" s="11">
        <v>78542</v>
      </c>
      <c r="AC34" s="11">
        <f>AB33</f>
        <v>78475</v>
      </c>
      <c r="AD34" s="11">
        <v>79247</v>
      </c>
      <c r="AE34" s="11">
        <f>AD33</f>
        <v>136964</v>
      </c>
      <c r="AF34" s="11">
        <v>175191</v>
      </c>
      <c r="AG34" s="11">
        <f>AF33</f>
        <v>262397</v>
      </c>
      <c r="AH34" s="11">
        <v>0</v>
      </c>
      <c r="AI34" s="11">
        <v>1</v>
      </c>
      <c r="AJ34" s="11">
        <v>831781</v>
      </c>
      <c r="AK34" s="11">
        <v>184178</v>
      </c>
      <c r="AL34" s="11">
        <v>0</v>
      </c>
      <c r="AM34" s="11">
        <v>0</v>
      </c>
      <c r="AN34" s="11">
        <f t="shared" si="4"/>
        <v>175929</v>
      </c>
      <c r="AO34" s="11">
        <f t="shared" si="5"/>
        <v>101741</v>
      </c>
      <c r="AP34" s="11">
        <v>129049</v>
      </c>
      <c r="AQ34" s="11">
        <f>AP33</f>
        <v>102273</v>
      </c>
    </row>
    <row r="35" spans="1:43" x14ac:dyDescent="0.25">
      <c r="A35" s="22">
        <v>12</v>
      </c>
      <c r="B35" s="22" t="s">
        <v>33</v>
      </c>
      <c r="C35" s="23" t="s">
        <v>34</v>
      </c>
      <c r="D35" s="12">
        <v>2017</v>
      </c>
      <c r="E35" s="12" t="s">
        <v>89</v>
      </c>
      <c r="F35" s="24">
        <v>107420888839</v>
      </c>
      <c r="G35" s="25">
        <v>1392636444501</v>
      </c>
      <c r="H35" s="11">
        <v>1425964152418</v>
      </c>
      <c r="I35" s="11">
        <v>988479957549</v>
      </c>
      <c r="J35" s="11">
        <v>1103865252070</v>
      </c>
      <c r="K35" s="25">
        <v>444383077820</v>
      </c>
      <c r="L35" s="11">
        <v>504208767076</v>
      </c>
      <c r="M35" s="25">
        <v>489592257434</v>
      </c>
      <c r="N35" s="25">
        <v>1</v>
      </c>
      <c r="O35" s="11">
        <v>3</v>
      </c>
      <c r="P35" s="11">
        <f>224844132712+65062484489</f>
        <v>289906617201</v>
      </c>
      <c r="Q35" s="28">
        <f>151368707677+130991926631</f>
        <v>282360634308</v>
      </c>
      <c r="R35" s="11">
        <v>4257738486908</v>
      </c>
      <c r="S35" s="11">
        <v>4115541761173</v>
      </c>
      <c r="T35" s="11">
        <v>284279618715</v>
      </c>
      <c r="U35" s="11">
        <v>3973458868193</v>
      </c>
      <c r="V35" s="11">
        <v>3680603252346</v>
      </c>
      <c r="W35" s="11">
        <v>404156486952</v>
      </c>
      <c r="X35" s="11">
        <v>212312805803</v>
      </c>
      <c r="Y35" s="11">
        <v>215976492549</v>
      </c>
      <c r="Z35" s="11">
        <v>218812798901</v>
      </c>
      <c r="AA35" s="11">
        <v>199281408783</v>
      </c>
      <c r="AB35" s="11">
        <v>51447784731</v>
      </c>
      <c r="AC35" s="11">
        <v>42737216576</v>
      </c>
      <c r="AD35" s="11">
        <v>45209179614</v>
      </c>
      <c r="AE35" s="11">
        <v>33835271614</v>
      </c>
      <c r="AF35" s="11">
        <v>444383077820</v>
      </c>
      <c r="AG35" s="11">
        <v>504208767076</v>
      </c>
      <c r="AH35" s="11">
        <v>1</v>
      </c>
      <c r="AI35" s="11">
        <v>1</v>
      </c>
      <c r="AJ35" s="11">
        <v>4251665624602</v>
      </c>
      <c r="AK35" s="11">
        <v>208851008007</v>
      </c>
      <c r="AL35" s="11">
        <v>2025480502</v>
      </c>
      <c r="AM35" s="11">
        <v>38629254581</v>
      </c>
      <c r="AN35" s="11">
        <f t="shared" si="4"/>
        <v>544096879729</v>
      </c>
      <c r="AO35" s="11">
        <f t="shared" si="5"/>
        <v>599656484994</v>
      </c>
      <c r="AP35" s="11">
        <v>12814873232</v>
      </c>
      <c r="AQ35" s="11">
        <v>20679220743</v>
      </c>
    </row>
    <row r="36" spans="1:43" x14ac:dyDescent="0.25">
      <c r="A36" s="22"/>
      <c r="B36" s="22"/>
      <c r="C36" s="23"/>
      <c r="D36" s="12">
        <v>2018</v>
      </c>
      <c r="E36" s="12"/>
      <c r="F36" s="24">
        <v>92649656775</v>
      </c>
      <c r="G36" s="25">
        <v>1168956042706</v>
      </c>
      <c r="H36" s="11">
        <f>G35</f>
        <v>1392636444501</v>
      </c>
      <c r="I36" s="11">
        <v>809166450672</v>
      </c>
      <c r="J36" s="11">
        <f>I35</f>
        <v>988479957549</v>
      </c>
      <c r="K36" s="25">
        <v>158255592250</v>
      </c>
      <c r="L36" s="11">
        <f>K35</f>
        <v>444383077820</v>
      </c>
      <c r="M36" s="25">
        <v>192308466864</v>
      </c>
      <c r="N36" s="25">
        <v>1</v>
      </c>
      <c r="O36" s="11">
        <v>3</v>
      </c>
      <c r="P36" s="11">
        <f>145708854828+144237416391</f>
        <v>289946271219</v>
      </c>
      <c r="Q36" s="28">
        <f>P35</f>
        <v>289906617201</v>
      </c>
      <c r="R36" s="11">
        <v>3629327583572</v>
      </c>
      <c r="S36" s="11">
        <f>R35</f>
        <v>4257738486908</v>
      </c>
      <c r="T36" s="11">
        <v>274351033019</v>
      </c>
      <c r="U36" s="11">
        <v>3354976550553</v>
      </c>
      <c r="V36" s="11">
        <f>U35</f>
        <v>3973458868193</v>
      </c>
      <c r="W36" s="11">
        <v>359789592034</v>
      </c>
      <c r="X36" s="11">
        <v>200024117988</v>
      </c>
      <c r="Y36" s="11">
        <f>X35</f>
        <v>212312805803</v>
      </c>
      <c r="Z36" s="11">
        <v>241170001213</v>
      </c>
      <c r="AA36" s="11">
        <f>Z35</f>
        <v>218812798901</v>
      </c>
      <c r="AB36" s="11">
        <v>62839760948</v>
      </c>
      <c r="AC36" s="11">
        <f>AB35</f>
        <v>51447784731</v>
      </c>
      <c r="AD36" s="11">
        <v>34052874614</v>
      </c>
      <c r="AE36" s="11">
        <f>AD35</f>
        <v>45209179614</v>
      </c>
      <c r="AF36" s="11">
        <v>158255592250</v>
      </c>
      <c r="AG36" s="11">
        <f>AF35</f>
        <v>444383077820</v>
      </c>
      <c r="AH36" s="11">
        <v>1</v>
      </c>
      <c r="AI36" s="11">
        <v>1</v>
      </c>
      <c r="AJ36" s="11">
        <v>3635331049631</v>
      </c>
      <c r="AK36" s="11">
        <v>287259686428</v>
      </c>
      <c r="AL36" s="11">
        <v>3518856903</v>
      </c>
      <c r="AM36" s="11">
        <f>AL35</f>
        <v>2025480502</v>
      </c>
      <c r="AN36" s="11">
        <f t="shared" si="4"/>
        <v>650910858422</v>
      </c>
      <c r="AO36" s="11">
        <f t="shared" si="5"/>
        <v>544096879729</v>
      </c>
      <c r="AP36" s="11">
        <v>1010163064</v>
      </c>
      <c r="AQ36" s="11">
        <f>AP35</f>
        <v>12814873232</v>
      </c>
    </row>
    <row r="37" spans="1:43" x14ac:dyDescent="0.25">
      <c r="A37" s="22"/>
      <c r="B37" s="22"/>
      <c r="C37" s="23"/>
      <c r="D37" s="12">
        <v>2019</v>
      </c>
      <c r="E37" s="12"/>
      <c r="F37" s="24">
        <v>215459200242</v>
      </c>
      <c r="G37" s="25">
        <v>1393079542074</v>
      </c>
      <c r="H37" s="11">
        <f>G36</f>
        <v>1168956042706</v>
      </c>
      <c r="I37" s="11">
        <v>1067652078121</v>
      </c>
      <c r="J37" s="11">
        <f>I36</f>
        <v>809166450672</v>
      </c>
      <c r="K37" s="25">
        <v>222440530626</v>
      </c>
      <c r="L37" s="11">
        <f>K36</f>
        <v>158255592250</v>
      </c>
      <c r="M37" s="25">
        <v>261784845240</v>
      </c>
      <c r="N37" s="25">
        <v>1</v>
      </c>
      <c r="O37" s="11">
        <v>3</v>
      </c>
      <c r="P37" s="11">
        <f>106059798871+252405259917</f>
        <v>358465058788</v>
      </c>
      <c r="Q37" s="28">
        <f>P36</f>
        <v>289946271219</v>
      </c>
      <c r="R37" s="11">
        <v>3120937098980</v>
      </c>
      <c r="S37" s="11">
        <f>R36</f>
        <v>3629327583572</v>
      </c>
      <c r="T37" s="11">
        <v>365362259989</v>
      </c>
      <c r="U37" s="11">
        <v>2755574838991</v>
      </c>
      <c r="V37" s="11">
        <f>U36</f>
        <v>3354976550553</v>
      </c>
      <c r="W37" s="11">
        <v>325427463953</v>
      </c>
      <c r="X37" s="11">
        <v>195283411192</v>
      </c>
      <c r="Y37" s="11">
        <f>X36</f>
        <v>200024117988</v>
      </c>
      <c r="Z37" s="11">
        <v>261516716333</v>
      </c>
      <c r="AA37" s="11">
        <f>Z36</f>
        <v>241170001213</v>
      </c>
      <c r="AB37" s="11">
        <v>44598253533</v>
      </c>
      <c r="AC37" s="11">
        <f>AB36</f>
        <v>62839760948</v>
      </c>
      <c r="AD37" s="11">
        <v>39344314614</v>
      </c>
      <c r="AE37" s="11">
        <f>AD36</f>
        <v>34052874614</v>
      </c>
      <c r="AF37" s="11">
        <v>222440530626</v>
      </c>
      <c r="AG37" s="11">
        <f>AF36</f>
        <v>158255592250</v>
      </c>
      <c r="AH37" s="11">
        <v>1</v>
      </c>
      <c r="AI37" s="11">
        <v>1</v>
      </c>
      <c r="AJ37" s="11">
        <v>3044468403143</v>
      </c>
      <c r="AK37" s="11">
        <v>453147999966</v>
      </c>
      <c r="AL37" s="11">
        <v>3558767229</v>
      </c>
      <c r="AM37" s="11">
        <f>AL36</f>
        <v>3518856903</v>
      </c>
      <c r="AN37" s="11">
        <f t="shared" si="4"/>
        <v>845211547495</v>
      </c>
      <c r="AO37" s="11">
        <f t="shared" si="5"/>
        <v>650910858422</v>
      </c>
      <c r="AP37" s="11">
        <v>366378768108</v>
      </c>
      <c r="AQ37" s="11">
        <f>AP36</f>
        <v>1010163064</v>
      </c>
    </row>
    <row r="38" spans="1:43" x14ac:dyDescent="0.25">
      <c r="A38" s="22">
        <v>13</v>
      </c>
      <c r="B38" s="22" t="s">
        <v>35</v>
      </c>
      <c r="C38" s="23" t="s">
        <v>36</v>
      </c>
      <c r="D38" s="12">
        <v>2017</v>
      </c>
      <c r="E38" s="12" t="s">
        <v>90</v>
      </c>
      <c r="F38" s="9">
        <v>279772635</v>
      </c>
      <c r="G38" s="10">
        <v>1340842765</v>
      </c>
      <c r="H38" s="11">
        <v>1197796650</v>
      </c>
      <c r="I38" s="11">
        <v>1206576189</v>
      </c>
      <c r="J38" s="11">
        <v>1048133697</v>
      </c>
      <c r="K38" s="10">
        <v>139684908</v>
      </c>
      <c r="L38" s="11">
        <v>137842096</v>
      </c>
      <c r="M38" s="10">
        <v>196197372</v>
      </c>
      <c r="N38" s="10">
        <v>1</v>
      </c>
      <c r="O38" s="12">
        <v>2</v>
      </c>
      <c r="P38" s="12">
        <f>57584+145972031</f>
        <v>146029615</v>
      </c>
      <c r="Q38" s="12">
        <f>56301+148351045</f>
        <v>148407346</v>
      </c>
      <c r="R38" s="11">
        <v>777308328</v>
      </c>
      <c r="S38" s="11">
        <v>774968268</v>
      </c>
      <c r="T38" s="11">
        <v>574271361</v>
      </c>
      <c r="U38" s="11">
        <v>203036967</v>
      </c>
      <c r="V38" s="11">
        <v>234086288</v>
      </c>
      <c r="W38" s="11">
        <v>134266576</v>
      </c>
      <c r="X38" s="11">
        <v>89978944</v>
      </c>
      <c r="Y38" s="11">
        <v>96275498</v>
      </c>
      <c r="Z38" s="11">
        <v>374825918</v>
      </c>
      <c r="AA38" s="11">
        <v>361525943</v>
      </c>
      <c r="AB38" s="11">
        <v>777308328</v>
      </c>
      <c r="AC38" s="11">
        <v>774968268</v>
      </c>
      <c r="AD38" s="11">
        <v>56512464</v>
      </c>
      <c r="AE38" s="11">
        <v>47580546</v>
      </c>
      <c r="AF38" s="11">
        <v>139684908</v>
      </c>
      <c r="AG38" s="11">
        <v>137842096</v>
      </c>
      <c r="AH38" s="12">
        <v>0</v>
      </c>
      <c r="AI38" s="12">
        <v>1</v>
      </c>
      <c r="AJ38" s="11">
        <v>1607508028</v>
      </c>
      <c r="AK38" s="11">
        <v>342202126</v>
      </c>
      <c r="AL38" s="12">
        <v>0</v>
      </c>
      <c r="AM38" s="12">
        <v>0</v>
      </c>
      <c r="AN38" s="11">
        <f t="shared" si="4"/>
        <v>1066891281</v>
      </c>
      <c r="AO38" s="11">
        <f t="shared" si="5"/>
        <v>910291601</v>
      </c>
      <c r="AP38" s="11">
        <v>845324146</v>
      </c>
      <c r="AQ38" s="11">
        <v>658665614</v>
      </c>
    </row>
    <row r="39" spans="1:43" x14ac:dyDescent="0.25">
      <c r="A39" s="22"/>
      <c r="B39" s="22"/>
      <c r="C39" s="23"/>
      <c r="D39" s="12">
        <v>2018</v>
      </c>
      <c r="E39" s="12"/>
      <c r="F39" s="9">
        <v>338129985</v>
      </c>
      <c r="G39" s="10">
        <v>1523517170</v>
      </c>
      <c r="H39" s="13">
        <f>G38</f>
        <v>1340842765</v>
      </c>
      <c r="I39" s="11">
        <v>1384227944</v>
      </c>
      <c r="J39" s="11">
        <f>I38</f>
        <v>1206576189</v>
      </c>
      <c r="K39" s="10">
        <v>47053513</v>
      </c>
      <c r="L39" s="13">
        <f>K38</f>
        <v>139684908</v>
      </c>
      <c r="M39" s="10">
        <v>239353356</v>
      </c>
      <c r="N39" s="10">
        <v>1</v>
      </c>
      <c r="O39" s="12">
        <v>2</v>
      </c>
      <c r="P39" s="11">
        <v>156825348</v>
      </c>
      <c r="Q39" s="12">
        <f>P38</f>
        <v>146029615</v>
      </c>
      <c r="R39" s="11">
        <v>893006350</v>
      </c>
      <c r="S39" s="11">
        <f>R38</f>
        <v>777308328</v>
      </c>
      <c r="T39" s="11">
        <v>651285239</v>
      </c>
      <c r="U39" s="11">
        <v>241721111</v>
      </c>
      <c r="V39" s="11">
        <f>U38</f>
        <v>203036967</v>
      </c>
      <c r="W39" s="11">
        <v>139289226</v>
      </c>
      <c r="X39" s="11">
        <v>90191394</v>
      </c>
      <c r="Y39" s="11">
        <f>X38</f>
        <v>89978944</v>
      </c>
      <c r="Z39" s="11">
        <v>391200028</v>
      </c>
      <c r="AA39" s="11">
        <f>Z38</f>
        <v>374825918</v>
      </c>
      <c r="AB39" s="11">
        <v>175692185</v>
      </c>
      <c r="AC39" s="11">
        <f>AB38</f>
        <v>777308328</v>
      </c>
      <c r="AD39" s="11">
        <v>47053513</v>
      </c>
      <c r="AE39" s="11">
        <f>AD38</f>
        <v>56512464</v>
      </c>
      <c r="AF39" s="11">
        <v>192299843</v>
      </c>
      <c r="AG39" s="11">
        <f>AF38</f>
        <v>139684908</v>
      </c>
      <c r="AH39" s="12">
        <v>0</v>
      </c>
      <c r="AI39" s="12">
        <v>1</v>
      </c>
      <c r="AJ39" s="11">
        <v>1699982607</v>
      </c>
      <c r="AK39" s="11">
        <v>342493551</v>
      </c>
      <c r="AL39" s="12">
        <v>0</v>
      </c>
      <c r="AM39" s="12">
        <v>0</v>
      </c>
      <c r="AN39" s="11">
        <f t="shared" si="4"/>
        <v>1337174431</v>
      </c>
      <c r="AO39" s="11">
        <f t="shared" si="5"/>
        <v>1066891281</v>
      </c>
      <c r="AP39" s="11">
        <v>963342137</v>
      </c>
      <c r="AQ39" s="11">
        <f>AP38</f>
        <v>845324146</v>
      </c>
    </row>
    <row r="40" spans="1:43" x14ac:dyDescent="0.25">
      <c r="A40" s="22"/>
      <c r="B40" s="22"/>
      <c r="C40" s="23"/>
      <c r="D40" s="12">
        <v>2019</v>
      </c>
      <c r="E40" s="12"/>
      <c r="F40" s="9">
        <v>317815177</v>
      </c>
      <c r="G40" s="10">
        <v>1425983722</v>
      </c>
      <c r="H40" s="13">
        <f>G39</f>
        <v>1523517170</v>
      </c>
      <c r="I40" s="11">
        <v>1292805083</v>
      </c>
      <c r="J40" s="11">
        <f>I39</f>
        <v>1384227944</v>
      </c>
      <c r="K40" s="10">
        <v>51833027</v>
      </c>
      <c r="L40" s="13">
        <f>K39</f>
        <v>47053513</v>
      </c>
      <c r="M40" s="10">
        <v>212420390</v>
      </c>
      <c r="N40" s="10">
        <v>1</v>
      </c>
      <c r="O40" s="12">
        <v>2</v>
      </c>
      <c r="P40" s="11">
        <v>97060469</v>
      </c>
      <c r="Q40" s="12">
        <f>P39</f>
        <v>156825348</v>
      </c>
      <c r="R40" s="11">
        <v>827136727</v>
      </c>
      <c r="S40" s="11">
        <f>R39</f>
        <v>893006350</v>
      </c>
      <c r="T40" s="11">
        <v>596696030</v>
      </c>
      <c r="U40" s="11">
        <v>230440697</v>
      </c>
      <c r="V40" s="11">
        <f>U39</f>
        <v>241721111</v>
      </c>
      <c r="W40" s="11">
        <v>133178639</v>
      </c>
      <c r="X40" s="11">
        <v>85234517</v>
      </c>
      <c r="Y40" s="11">
        <f>X39</f>
        <v>90191394</v>
      </c>
      <c r="Z40" s="11">
        <v>401840138</v>
      </c>
      <c r="AA40" s="11">
        <f>Z39</f>
        <v>391200028</v>
      </c>
      <c r="AB40" s="11">
        <v>166486011</v>
      </c>
      <c r="AC40" s="11">
        <f>AB39</f>
        <v>175692185</v>
      </c>
      <c r="AD40" s="11">
        <v>51833027</v>
      </c>
      <c r="AE40" s="11">
        <f>AD39</f>
        <v>47053513</v>
      </c>
      <c r="AF40" s="11">
        <v>160587363</v>
      </c>
      <c r="AG40" s="11">
        <f>AF39</f>
        <v>192299843</v>
      </c>
      <c r="AH40" s="12">
        <v>0</v>
      </c>
      <c r="AI40" s="12">
        <v>1</v>
      </c>
      <c r="AJ40" s="11">
        <v>1643577182</v>
      </c>
      <c r="AK40" s="11">
        <v>274364533</v>
      </c>
      <c r="AL40" s="12">
        <v>0</v>
      </c>
      <c r="AM40" s="12">
        <v>0</v>
      </c>
      <c r="AN40" s="11">
        <f t="shared" si="4"/>
        <v>1240972056</v>
      </c>
      <c r="AO40" s="11">
        <f t="shared" si="5"/>
        <v>1337174431</v>
      </c>
      <c r="AP40" s="11">
        <v>844219288</v>
      </c>
      <c r="AQ40" s="11">
        <f>AP39</f>
        <v>963342137</v>
      </c>
    </row>
    <row r="41" spans="1:43" x14ac:dyDescent="0.25">
      <c r="A41" s="22">
        <v>14</v>
      </c>
      <c r="B41" s="22" t="s">
        <v>37</v>
      </c>
      <c r="C41" s="23" t="s">
        <v>38</v>
      </c>
      <c r="D41" s="12">
        <v>2017</v>
      </c>
      <c r="E41" s="12" t="s">
        <v>90</v>
      </c>
      <c r="F41" s="9">
        <v>162249293</v>
      </c>
      <c r="G41" s="10">
        <v>1640886147</v>
      </c>
      <c r="H41" s="11">
        <v>1531365558</v>
      </c>
      <c r="I41" s="11">
        <v>1175655601</v>
      </c>
      <c r="J41" s="11">
        <v>1068967094</v>
      </c>
      <c r="K41" s="10">
        <v>441622865</v>
      </c>
      <c r="L41" s="11">
        <v>374427510</v>
      </c>
      <c r="M41" s="10">
        <v>524586078</v>
      </c>
      <c r="N41" s="10">
        <v>3</v>
      </c>
      <c r="O41" s="12">
        <v>6</v>
      </c>
      <c r="P41" s="12">
        <f>448003830+30935697</f>
        <v>478939527</v>
      </c>
      <c r="Q41" s="12">
        <f>440446957+21342480</f>
        <v>461789437</v>
      </c>
      <c r="R41" s="11">
        <v>1575647308</v>
      </c>
      <c r="S41" s="11">
        <v>1451356680</v>
      </c>
      <c r="T41" s="11">
        <v>893956419</v>
      </c>
      <c r="U41" s="11">
        <v>681690889</v>
      </c>
      <c r="V41" s="11">
        <v>649918928</v>
      </c>
      <c r="W41" s="11">
        <v>465230546</v>
      </c>
      <c r="X41" s="11">
        <v>395989095</v>
      </c>
      <c r="Y41" s="11">
        <v>404599316</v>
      </c>
      <c r="Z41" s="11">
        <v>395989095</v>
      </c>
      <c r="AA41" s="11">
        <v>404599316</v>
      </c>
      <c r="AB41" s="11">
        <v>141468725</v>
      </c>
      <c r="AC41" s="11">
        <v>125797244</v>
      </c>
      <c r="AD41" s="11">
        <v>82963213</v>
      </c>
      <c r="AE41" s="11">
        <v>441622865</v>
      </c>
      <c r="AF41" s="11">
        <v>441622865</v>
      </c>
      <c r="AG41" s="11">
        <v>374427510</v>
      </c>
      <c r="AH41" s="12">
        <v>0</v>
      </c>
      <c r="AI41" s="12">
        <v>1</v>
      </c>
      <c r="AJ41" s="11">
        <v>1577778286</v>
      </c>
      <c r="AK41" s="11">
        <v>230738193</v>
      </c>
      <c r="AL41" s="12">
        <v>0</v>
      </c>
      <c r="AM41" s="12">
        <v>0</v>
      </c>
      <c r="AN41" s="11">
        <f t="shared" si="4"/>
        <v>734032736</v>
      </c>
      <c r="AO41" s="11">
        <f t="shared" si="5"/>
        <v>694539584</v>
      </c>
      <c r="AP41" s="11">
        <v>450881672</v>
      </c>
      <c r="AQ41" s="11">
        <v>372378578</v>
      </c>
    </row>
    <row r="42" spans="1:43" x14ac:dyDescent="0.25">
      <c r="A42" s="22"/>
      <c r="B42" s="22"/>
      <c r="C42" s="23"/>
      <c r="D42" s="12">
        <v>2018</v>
      </c>
      <c r="E42" s="12"/>
      <c r="F42" s="9">
        <v>200651968</v>
      </c>
      <c r="G42" s="10">
        <v>1682821739</v>
      </c>
      <c r="H42" s="13">
        <f>G41</f>
        <v>1640886147</v>
      </c>
      <c r="I42" s="11">
        <v>1203372372</v>
      </c>
      <c r="J42" s="11">
        <f>I41</f>
        <v>1175655601</v>
      </c>
      <c r="K42" s="10">
        <v>416537366</v>
      </c>
      <c r="L42" s="13">
        <f>K41</f>
        <v>441622865</v>
      </c>
      <c r="M42" s="10">
        <v>482559876</v>
      </c>
      <c r="N42" s="10">
        <v>3</v>
      </c>
      <c r="O42" s="12">
        <v>6</v>
      </c>
      <c r="P42" s="12">
        <f>550099354+16710786</f>
        <v>566810140</v>
      </c>
      <c r="Q42" s="12">
        <f>P41</f>
        <v>478939527</v>
      </c>
      <c r="R42" s="11">
        <v>1699657296</v>
      </c>
      <c r="S42" s="11">
        <f>R41</f>
        <v>1575647308</v>
      </c>
      <c r="T42" s="11">
        <v>925409702</v>
      </c>
      <c r="U42" s="11">
        <v>774247594</v>
      </c>
      <c r="V42" s="11">
        <f>U41</f>
        <v>681690889</v>
      </c>
      <c r="W42" s="11">
        <v>479449367</v>
      </c>
      <c r="X42" s="11">
        <v>394751573</v>
      </c>
      <c r="Y42" s="11">
        <f>X41</f>
        <v>395989095</v>
      </c>
      <c r="Z42" s="11">
        <v>299245090</v>
      </c>
      <c r="AA42" s="11">
        <f>Z41</f>
        <v>395989095</v>
      </c>
      <c r="AB42" s="11">
        <v>143901017</v>
      </c>
      <c r="AC42" s="11">
        <v>143901017</v>
      </c>
      <c r="AD42" s="11">
        <v>66022510</v>
      </c>
      <c r="AE42" s="11">
        <f>AD41</f>
        <v>82963213</v>
      </c>
      <c r="AF42" s="11">
        <v>416537366</v>
      </c>
      <c r="AG42" s="11">
        <f>AF41</f>
        <v>441622865</v>
      </c>
      <c r="AH42" s="12">
        <v>0</v>
      </c>
      <c r="AI42" s="12">
        <v>1</v>
      </c>
      <c r="AJ42" s="11">
        <v>1612271777</v>
      </c>
      <c r="AK42" s="11">
        <v>26628428</v>
      </c>
      <c r="AL42" s="12">
        <v>0</v>
      </c>
      <c r="AM42" s="12">
        <v>0</v>
      </c>
      <c r="AN42" s="11">
        <f t="shared" si="4"/>
        <v>786835006</v>
      </c>
      <c r="AO42" s="11">
        <f t="shared" si="5"/>
        <v>734032736</v>
      </c>
      <c r="AP42" s="11">
        <v>306116733</v>
      </c>
      <c r="AQ42" s="11">
        <f>AP41</f>
        <v>450881672</v>
      </c>
    </row>
    <row r="43" spans="1:43" x14ac:dyDescent="0.25">
      <c r="A43" s="22"/>
      <c r="B43" s="22"/>
      <c r="C43" s="23"/>
      <c r="D43" s="12">
        <v>2019</v>
      </c>
      <c r="E43" s="12"/>
      <c r="F43" s="9">
        <v>221783249</v>
      </c>
      <c r="G43" s="10">
        <v>1829960714</v>
      </c>
      <c r="H43" s="13">
        <f>G42</f>
        <v>1682821739</v>
      </c>
      <c r="I43" s="11">
        <v>1280212333</v>
      </c>
      <c r="J43" s="11">
        <f>I42</f>
        <v>1203372372</v>
      </c>
      <c r="K43" s="10">
        <v>439444037</v>
      </c>
      <c r="L43" s="13">
        <f>K42</f>
        <v>416537366</v>
      </c>
      <c r="M43" s="10">
        <v>523881726</v>
      </c>
      <c r="N43" s="10">
        <v>3</v>
      </c>
      <c r="O43" s="12">
        <v>6</v>
      </c>
      <c r="P43" s="12">
        <f>535208236+15350927</f>
        <v>550559163</v>
      </c>
      <c r="Q43" s="12">
        <f>P42</f>
        <v>566810140</v>
      </c>
      <c r="R43" s="11">
        <v>1813020278</v>
      </c>
      <c r="S43" s="11">
        <f>R42</f>
        <v>1699657296</v>
      </c>
      <c r="T43" s="11">
        <v>973481977</v>
      </c>
      <c r="U43" s="11">
        <v>839538301</v>
      </c>
      <c r="V43" s="11">
        <f>U42</f>
        <v>774247594</v>
      </c>
      <c r="W43" s="11">
        <v>549748381</v>
      </c>
      <c r="X43" s="11">
        <v>392923654</v>
      </c>
      <c r="Y43" s="11">
        <f>X42</f>
        <v>394751573</v>
      </c>
      <c r="Z43" s="11">
        <v>331356141</v>
      </c>
      <c r="AA43" s="11">
        <f>Z42</f>
        <v>299245090</v>
      </c>
      <c r="AB43" s="11">
        <v>151683716</v>
      </c>
      <c r="AC43" s="11">
        <v>151683716</v>
      </c>
      <c r="AD43" s="11">
        <v>84437689</v>
      </c>
      <c r="AE43" s="11">
        <f>AD42</f>
        <v>66022510</v>
      </c>
      <c r="AF43" s="11">
        <v>439444037</v>
      </c>
      <c r="AG43" s="11">
        <f>AF42</f>
        <v>416537366</v>
      </c>
      <c r="AH43" s="12">
        <v>1</v>
      </c>
      <c r="AI43" s="12">
        <v>1</v>
      </c>
      <c r="AJ43" s="11">
        <v>1833091642</v>
      </c>
      <c r="AK43" s="11">
        <v>272538844</v>
      </c>
      <c r="AL43" s="12">
        <v>0</v>
      </c>
      <c r="AM43" s="12">
        <v>0</v>
      </c>
      <c r="AN43" s="11">
        <f t="shared" si="4"/>
        <v>840768296</v>
      </c>
      <c r="AO43" s="11">
        <f t="shared" si="5"/>
        <v>786835006</v>
      </c>
      <c r="AP43" s="11">
        <v>339047459</v>
      </c>
      <c r="AQ43" s="11">
        <f>AP42</f>
        <v>306116733</v>
      </c>
    </row>
    <row r="44" spans="1:43" x14ac:dyDescent="0.25">
      <c r="A44" s="22">
        <v>15</v>
      </c>
      <c r="B44" s="22" t="s">
        <v>39</v>
      </c>
      <c r="C44" s="23" t="s">
        <v>40</v>
      </c>
      <c r="D44" s="12">
        <v>2017</v>
      </c>
      <c r="E44" s="12" t="s">
        <v>87</v>
      </c>
      <c r="F44" s="9">
        <v>12670534</v>
      </c>
      <c r="G44" s="10">
        <v>43141063</v>
      </c>
      <c r="H44" s="10">
        <v>42508277</v>
      </c>
      <c r="I44" s="11">
        <v>34180353</v>
      </c>
      <c r="J44" s="11">
        <v>33647496</v>
      </c>
      <c r="K44" s="10">
        <v>6482969</v>
      </c>
      <c r="L44" s="11">
        <v>6428478</v>
      </c>
      <c r="M44" s="10">
        <v>9028078</v>
      </c>
      <c r="N44" s="10">
        <v>2</v>
      </c>
      <c r="O44" s="12">
        <v>5</v>
      </c>
      <c r="P44" s="12">
        <f>3375798+222124</f>
        <v>3597922</v>
      </c>
      <c r="Q44" s="12">
        <f>3124358+198168</f>
        <v>3322526</v>
      </c>
      <c r="R44" s="11">
        <v>99091484</v>
      </c>
      <c r="S44" s="11">
        <v>95466657</v>
      </c>
      <c r="T44" s="11">
        <v>24215842</v>
      </c>
      <c r="U44" s="11">
        <v>74875642</v>
      </c>
      <c r="V44" s="11">
        <v>71611981</v>
      </c>
      <c r="W44" s="11">
        <v>8960710</v>
      </c>
      <c r="X44" s="11">
        <v>6890750</v>
      </c>
      <c r="Y44" s="11">
        <v>6890750</v>
      </c>
      <c r="Z44" s="11">
        <v>5255987</v>
      </c>
      <c r="AA44" s="11">
        <v>4657551</v>
      </c>
      <c r="AB44" s="11">
        <v>1846352</v>
      </c>
      <c r="AC44" s="11">
        <v>1737275</v>
      </c>
      <c r="AD44" s="11">
        <v>2545109</v>
      </c>
      <c r="AE44" s="11">
        <v>1904785</v>
      </c>
      <c r="AF44" s="11">
        <v>6482969</v>
      </c>
      <c r="AG44" s="11">
        <v>6428478</v>
      </c>
      <c r="AH44" s="12">
        <v>1</v>
      </c>
      <c r="AI44" s="12">
        <v>1</v>
      </c>
      <c r="AJ44" s="11">
        <v>108033945</v>
      </c>
      <c r="AK44" s="11">
        <v>102589715</v>
      </c>
      <c r="AL44" s="11">
        <v>62143</v>
      </c>
      <c r="AM44" s="11">
        <v>77429</v>
      </c>
      <c r="AN44" s="11">
        <f t="shared" si="4"/>
        <v>27697384</v>
      </c>
      <c r="AO44" s="11">
        <f t="shared" si="5"/>
        <v>27219018</v>
      </c>
      <c r="AP44" s="11">
        <v>7501737</v>
      </c>
      <c r="AQ44" s="11">
        <v>5056183</v>
      </c>
    </row>
    <row r="45" spans="1:43" x14ac:dyDescent="0.25">
      <c r="A45" s="22"/>
      <c r="B45" s="22"/>
      <c r="C45" s="23"/>
      <c r="D45" s="12">
        <v>2018</v>
      </c>
      <c r="E45" s="12"/>
      <c r="F45" s="9">
        <v>13538418</v>
      </c>
      <c r="G45" s="10">
        <v>46602420</v>
      </c>
      <c r="H45" s="13">
        <f>G44</f>
        <v>43141063</v>
      </c>
      <c r="I45" s="11">
        <v>37831483</v>
      </c>
      <c r="J45" s="11">
        <f>I44</f>
        <v>34180353</v>
      </c>
      <c r="K45" s="10">
        <v>8793999</v>
      </c>
      <c r="L45" s="13">
        <f>K44</f>
        <v>6482969</v>
      </c>
      <c r="M45" s="10">
        <v>11244167</v>
      </c>
      <c r="N45" s="10">
        <v>2</v>
      </c>
      <c r="O45" s="12">
        <v>5</v>
      </c>
      <c r="P45" s="12">
        <f>299975+7759</f>
        <v>307734</v>
      </c>
      <c r="Q45" s="12">
        <f>P44</f>
        <v>3597922</v>
      </c>
      <c r="R45" s="11">
        <v>106741891</v>
      </c>
      <c r="S45" s="11">
        <f>R44</f>
        <v>99091484</v>
      </c>
      <c r="T45" s="11">
        <v>25490791</v>
      </c>
      <c r="U45" s="11">
        <v>81251100</v>
      </c>
      <c r="V45" s="11">
        <f>U44</f>
        <v>74875642</v>
      </c>
      <c r="W45" s="11">
        <v>8770937</v>
      </c>
      <c r="X45" s="11">
        <v>7288435</v>
      </c>
      <c r="Y45" s="11">
        <f>X44</f>
        <v>6890750</v>
      </c>
      <c r="Z45" s="11">
        <v>5821849</v>
      </c>
      <c r="AA45" s="11">
        <f>Z44</f>
        <v>5255987</v>
      </c>
      <c r="AB45" s="11">
        <v>2312252</v>
      </c>
      <c r="AC45" s="11">
        <f>AB44</f>
        <v>1846352</v>
      </c>
      <c r="AD45" s="11">
        <v>2450168</v>
      </c>
      <c r="AE45" s="11">
        <f>AD44</f>
        <v>2545109</v>
      </c>
      <c r="AF45" s="11">
        <v>8793999</v>
      </c>
      <c r="AG45" s="11">
        <f>AF44</f>
        <v>6482969</v>
      </c>
      <c r="AH45" s="12">
        <v>1</v>
      </c>
      <c r="AI45" s="12">
        <v>1</v>
      </c>
      <c r="AJ45" s="11">
        <v>116739187</v>
      </c>
      <c r="AK45" s="11">
        <v>20193483</v>
      </c>
      <c r="AL45" s="11">
        <v>31150</v>
      </c>
      <c r="AM45" s="11">
        <f>AL44</f>
        <v>62143</v>
      </c>
      <c r="AN45" s="11">
        <f t="shared" si="4"/>
        <v>29037484</v>
      </c>
      <c r="AO45" s="11">
        <f t="shared" si="5"/>
        <v>27697384</v>
      </c>
      <c r="AP45" s="11">
        <v>15516439</v>
      </c>
      <c r="AQ45" s="11">
        <f>AP44</f>
        <v>7501737</v>
      </c>
    </row>
    <row r="46" spans="1:43" x14ac:dyDescent="0.25">
      <c r="A46" s="22"/>
      <c r="B46" s="22"/>
      <c r="C46" s="23"/>
      <c r="D46" s="12">
        <v>2019</v>
      </c>
      <c r="E46" s="12"/>
      <c r="F46" s="9">
        <v>13721513</v>
      </c>
      <c r="G46" s="10">
        <v>5090280</v>
      </c>
      <c r="H46" s="13">
        <f>G45</f>
        <v>46602420</v>
      </c>
      <c r="I46" s="11">
        <v>41697015</v>
      </c>
      <c r="J46" s="11">
        <f>I45</f>
        <v>37831483</v>
      </c>
      <c r="K46" s="10">
        <v>12727676</v>
      </c>
      <c r="L46" s="13">
        <f>K45</f>
        <v>8793999</v>
      </c>
      <c r="M46" s="10">
        <v>15223076</v>
      </c>
      <c r="N46" s="10">
        <v>2</v>
      </c>
      <c r="O46" s="12">
        <v>5</v>
      </c>
      <c r="P46" s="10">
        <f>527407+3880</f>
        <v>531287</v>
      </c>
      <c r="Q46" s="12">
        <f>P45</f>
        <v>307734</v>
      </c>
      <c r="R46" s="11">
        <v>106055176</v>
      </c>
      <c r="S46" s="11">
        <f>R45</f>
        <v>106741891</v>
      </c>
      <c r="T46" s="11">
        <v>26122981</v>
      </c>
      <c r="U46" s="11">
        <v>79932195</v>
      </c>
      <c r="V46" s="11">
        <f>U45</f>
        <v>81251100</v>
      </c>
      <c r="W46" s="11">
        <v>9205791</v>
      </c>
      <c r="X46" s="11">
        <v>7297912</v>
      </c>
      <c r="Y46" s="11">
        <f>X45</f>
        <v>7288435</v>
      </c>
      <c r="Z46" s="11">
        <v>6743290</v>
      </c>
      <c r="AA46" s="11">
        <f>Z45</f>
        <v>5821849</v>
      </c>
      <c r="AB46" s="11">
        <v>2424862</v>
      </c>
      <c r="AC46" s="11">
        <f>AB45</f>
        <v>2312252</v>
      </c>
      <c r="AD46" s="11">
        <v>2495400</v>
      </c>
      <c r="AE46" s="11">
        <f>AD45</f>
        <v>2450168</v>
      </c>
      <c r="AF46" s="11">
        <v>12727676</v>
      </c>
      <c r="AG46" s="11">
        <f>AF45</f>
        <v>8793999</v>
      </c>
      <c r="AH46" s="12">
        <v>1</v>
      </c>
      <c r="AI46" s="12">
        <v>1</v>
      </c>
      <c r="AJ46" s="11">
        <v>116293601</v>
      </c>
      <c r="AK46" s="11">
        <v>17145967</v>
      </c>
      <c r="AL46" s="11">
        <v>69546</v>
      </c>
      <c r="AM46" s="11">
        <f>AL45</f>
        <v>31150</v>
      </c>
      <c r="AN46" s="11">
        <f t="shared" si="4"/>
        <v>28969339</v>
      </c>
      <c r="AO46" s="11">
        <f t="shared" si="5"/>
        <v>29037484</v>
      </c>
      <c r="AP46" s="11">
        <v>18820695</v>
      </c>
      <c r="AQ46" s="11">
        <f>AP45</f>
        <v>15516439</v>
      </c>
    </row>
    <row r="48" spans="1:43" x14ac:dyDescent="0.25">
      <c r="H48" s="29"/>
      <c r="J48" s="29"/>
      <c r="L48" s="29"/>
      <c r="N48" s="29"/>
      <c r="O48" s="30"/>
      <c r="P48" s="29"/>
      <c r="Q48" s="30"/>
      <c r="R48" s="29"/>
      <c r="S48" s="30"/>
      <c r="T48" s="29"/>
      <c r="U48" s="30"/>
      <c r="V48" s="29"/>
      <c r="W48" s="30"/>
      <c r="X48" s="29"/>
      <c r="Y48" s="30"/>
      <c r="Z48" s="29"/>
      <c r="AA48" s="30"/>
      <c r="AB48" s="29"/>
      <c r="AC48" s="30"/>
      <c r="AD48" s="29"/>
      <c r="AE48" s="30"/>
      <c r="AF48" s="29"/>
      <c r="AG48" s="30"/>
      <c r="AH48" s="29"/>
      <c r="AI48" s="30"/>
      <c r="AJ48" s="29"/>
      <c r="AK48" s="30"/>
      <c r="AL48" s="29"/>
      <c r="AM48" s="30"/>
      <c r="AN48" s="29"/>
      <c r="AO48" s="30"/>
      <c r="AP48" s="29"/>
      <c r="AQ48" s="30"/>
    </row>
  </sheetData>
  <mergeCells count="45">
    <mergeCell ref="A8:A10"/>
    <mergeCell ref="A2:A4"/>
    <mergeCell ref="B2:B4"/>
    <mergeCell ref="C2:C4"/>
    <mergeCell ref="A14:A16"/>
    <mergeCell ref="A5:A7"/>
    <mergeCell ref="B5:B7"/>
    <mergeCell ref="C5:C7"/>
    <mergeCell ref="B8:B10"/>
    <mergeCell ref="C8:C10"/>
    <mergeCell ref="B14:B16"/>
    <mergeCell ref="C14:C16"/>
    <mergeCell ref="A11:A13"/>
    <mergeCell ref="B11:B13"/>
    <mergeCell ref="C11:C13"/>
    <mergeCell ref="A29:A31"/>
    <mergeCell ref="B29:B31"/>
    <mergeCell ref="C29:C31"/>
    <mergeCell ref="A17:A19"/>
    <mergeCell ref="B17:B19"/>
    <mergeCell ref="C17:C19"/>
    <mergeCell ref="A20:A22"/>
    <mergeCell ref="B20:B22"/>
    <mergeCell ref="C20:C22"/>
    <mergeCell ref="A23:A25"/>
    <mergeCell ref="B23:B25"/>
    <mergeCell ref="C23:C25"/>
    <mergeCell ref="A26:A28"/>
    <mergeCell ref="B26:B28"/>
    <mergeCell ref="C26:C28"/>
    <mergeCell ref="B32:B34"/>
    <mergeCell ref="C32:C34"/>
    <mergeCell ref="B35:B37"/>
    <mergeCell ref="C35:C37"/>
    <mergeCell ref="B38:B40"/>
    <mergeCell ref="C38:C40"/>
    <mergeCell ref="B41:B43"/>
    <mergeCell ref="C41:C43"/>
    <mergeCell ref="B44:B46"/>
    <mergeCell ref="C44:C46"/>
    <mergeCell ref="A44:A46"/>
    <mergeCell ref="A32:A34"/>
    <mergeCell ref="A35:A37"/>
    <mergeCell ref="A38:A40"/>
    <mergeCell ref="A41:A43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I1" workbookViewId="0">
      <selection activeCell="D4" sqref="D4"/>
    </sheetView>
  </sheetViews>
  <sheetFormatPr defaultRowHeight="15" x14ac:dyDescent="0.25"/>
  <cols>
    <col min="4" max="4" width="14.85546875" customWidth="1"/>
    <col min="5" max="5" width="18" customWidth="1"/>
    <col min="7" max="7" width="15.5703125" bestFit="1" customWidth="1"/>
    <col min="8" max="8" width="14.7109375" bestFit="1" customWidth="1"/>
    <col min="9" max="9" width="21.28515625" customWidth="1"/>
    <col min="13" max="13" width="18.5703125" customWidth="1"/>
  </cols>
  <sheetData>
    <row r="1" spans="1:14" ht="15.75" x14ac:dyDescent="0.25">
      <c r="A1" t="s">
        <v>58</v>
      </c>
      <c r="B1" t="s">
        <v>57</v>
      </c>
      <c r="C1" s="1" t="s">
        <v>59</v>
      </c>
      <c r="D1" s="1" t="s">
        <v>60</v>
      </c>
      <c r="E1" t="s">
        <v>63</v>
      </c>
      <c r="F1" t="s">
        <v>64</v>
      </c>
      <c r="G1" t="s">
        <v>65</v>
      </c>
      <c r="H1" t="s">
        <v>70</v>
      </c>
      <c r="I1" t="s">
        <v>71</v>
      </c>
      <c r="J1" t="s">
        <v>73</v>
      </c>
      <c r="K1" t="s">
        <v>74</v>
      </c>
      <c r="L1" t="s">
        <v>75</v>
      </c>
      <c r="M1" t="s">
        <v>76</v>
      </c>
      <c r="N1" t="s">
        <v>85</v>
      </c>
    </row>
    <row r="2" spans="1:14" x14ac:dyDescent="0.25">
      <c r="A2">
        <v>1</v>
      </c>
      <c r="B2">
        <f>'REKAP A.R'!F2/'REKAP A.R'!G2</f>
        <v>6.2210741884582296E-2</v>
      </c>
      <c r="C2" s="6">
        <f>'REKAP A.R'!N2/'REKAP A.R'!O2</f>
        <v>0.5</v>
      </c>
      <c r="D2" s="2">
        <f>('REKAP A.R'!AJ2-'REKAP A.R'!AK2)/'REKAP A.R'!G2</f>
        <v>0.73111207594244232</v>
      </c>
      <c r="E2">
        <f>'REKAP A.R'!AH2</f>
        <v>1</v>
      </c>
      <c r="F2">
        <f>'REKAP A.R'!AI2</f>
        <v>1</v>
      </c>
      <c r="G2" s="3">
        <f>('REKAP A.R'!P2-'REKAP A.R'!R2)/('REKAP A.R'!Q2-'REKAP A.R'!S2)</f>
        <v>1.1871666766465687</v>
      </c>
      <c r="H2">
        <f>(('REKAP A.R'!S2-'REKAP A.R'!V2)/'REKAP A.R'!S2)/(('REKAP A.R'!R2-'REKAP A.R'!U2)/'REKAP A.R'!R2)</f>
        <v>0.88145811696769827</v>
      </c>
      <c r="I2">
        <f>((1-('REKAP A.R'!I2+'REKAP A.R'!X2))/'REKAP A.R'!G2)/((1-('REKAP A.R'!J2+'REKAP A.R'!Y2)/'REKAP A.R'!J3))</f>
        <v>1.1906505820928253</v>
      </c>
      <c r="J2">
        <f>'REKAP A.R'!R2/'REKAP A.R'!S2</f>
        <v>1.1421074831436102</v>
      </c>
      <c r="K2">
        <f>('REKAP A.R'!AA2/('REKAP A.R'!AA2+'REKAP A.R'!Y2))/('REKAP A.R'!Z2/('REKAP A.R'!Z2+'REKAP A.R'!X2))</f>
        <v>1.0568779490893163</v>
      </c>
      <c r="L2">
        <f>('REKAP A.R'!AB2/'REKAP A.R'!R2)/('REKAP A.R'!AC2/'REKAP A.R'!S2)</f>
        <v>1.0471557341888784</v>
      </c>
      <c r="M2" s="5">
        <f>(('REKAP A.R'!AD2+'REKAP A.R'!AF2)/'REKAP A.R'!G2)/(('REKAP A.R'!AE2+'REKAP A.R'!AG2)/'REKAP A.R'!H2)</f>
        <v>1.0838466154671214</v>
      </c>
      <c r="N2" s="2">
        <f>(('REKAP A.R'!AN2-'REKAP A.R'!AO2)-('REKAP A.R'!AP2-'REKAP A.R'!AQ2)-('REKAP A.R'!AL2-'REKAP A.R'!AM2)-('REKAP A.R'!Z2))/'REKAP A.R'!G2</f>
        <v>-8.1779011900227433E-2</v>
      </c>
    </row>
    <row r="3" spans="1:14" x14ac:dyDescent="0.25">
      <c r="A3">
        <v>2</v>
      </c>
      <c r="B3">
        <f>'REKAP A.R'!F3/'REKAP A.R'!G3</f>
        <v>2.7583735651321911E-2</v>
      </c>
      <c r="C3" s="6">
        <f>'REKAP A.R'!N3/'REKAP A.R'!O3</f>
        <v>0.5</v>
      </c>
      <c r="D3" s="2">
        <f>('REKAP A.R'!AJ3-'REKAP A.R'!AK3)/'REKAP A.R'!G3</f>
        <v>5.4750401970951067E-2</v>
      </c>
      <c r="E3">
        <f>'REKAP A.R'!AH3</f>
        <v>0</v>
      </c>
      <c r="F3">
        <f>'REKAP A.R'!AI3</f>
        <v>1</v>
      </c>
      <c r="G3" s="3">
        <f>('REKAP A.R'!P3-'REKAP A.R'!R3)/('REKAP A.R'!Q3-'REKAP A.R'!S3)</f>
        <v>0.97599093002076376</v>
      </c>
      <c r="H3">
        <f>(('REKAP A.R'!S3-'REKAP A.R'!V3)/'REKAP A.R'!S3)/(('REKAP A.R'!R3-'REKAP A.R'!U3)/'REKAP A.R'!R3)</f>
        <v>1.093146766405354</v>
      </c>
      <c r="I3">
        <f>((1-('REKAP A.R'!I3+'REKAP A.R'!X3))/'REKAP A.R'!G3)/((1-('REKAP A.R'!J3+'REKAP A.R'!Y3)/'REKAP A.R'!J4))</f>
        <v>0.94311763796736769</v>
      </c>
      <c r="J3">
        <f>'REKAP A.R'!R3/'REKAP A.R'!S3</f>
        <v>0.990466479429012</v>
      </c>
      <c r="K3">
        <f>('REKAP A.R'!AA3/('REKAP A.R'!AA3+'REKAP A.R'!Y3))/('REKAP A.R'!Z3/('REKAP A.R'!Z3+'REKAP A.R'!X3))</f>
        <v>0.88696664291724736</v>
      </c>
      <c r="L3">
        <f>('REKAP A.R'!AB3/'REKAP A.R'!R3)/('REKAP A.R'!AC3/'REKAP A.R'!S3)</f>
        <v>1.0330958894665465</v>
      </c>
      <c r="M3" s="5">
        <f>(('REKAP A.R'!AD3+'REKAP A.R'!AF3)/'REKAP A.R'!G3)/(('REKAP A.R'!AE3+'REKAP A.R'!AG3)/'REKAP A.R'!H3)</f>
        <v>1.0562558922155538</v>
      </c>
      <c r="N3" s="2">
        <f>(('REKAP A.R'!AN3-'REKAP A.R'!AO3)-('REKAP A.R'!AP3-'REKAP A.R'!AQ3)-('REKAP A.R'!AL3-'REKAP A.R'!AM3)-('REKAP A.R'!Z3))/'REKAP A.R'!G3</f>
        <v>-4.1887411324069493E-2</v>
      </c>
    </row>
    <row r="4" spans="1:14" x14ac:dyDescent="0.25">
      <c r="A4">
        <v>3</v>
      </c>
      <c r="B4">
        <f>'REKAP A.R'!F4/'REKAP A.R'!G4</f>
        <v>1.3846887777803553E-2</v>
      </c>
      <c r="C4" s="6">
        <f>'REKAP A.R'!N4/'REKAP A.R'!O4</f>
        <v>0.5</v>
      </c>
      <c r="D4" s="8">
        <f>('REKAP A.R'!AJ4-'REKAP A.R'!AK4)/'REKAP A.R'!G4</f>
        <v>0</v>
      </c>
      <c r="E4">
        <f>'REKAP A.R'!AH4</f>
        <v>0</v>
      </c>
      <c r="F4">
        <f>'REKAP A.R'!AI4</f>
        <v>1</v>
      </c>
      <c r="G4" s="3">
        <f>('REKAP A.R'!P4-'REKAP A.R'!R4)/('REKAP A.R'!Q4-'REKAP A.R'!S4)</f>
        <v>1.1091475765928438</v>
      </c>
      <c r="H4">
        <f>(('REKAP A.R'!S4-'REKAP A.R'!V4)/'REKAP A.R'!S4)/(('REKAP A.R'!R4-'REKAP A.R'!U4)/'REKAP A.R'!R4)</f>
        <v>1.0545982309738686</v>
      </c>
      <c r="I4" s="4">
        <f>((1-('REKAP A.R'!I4+'REKAP A.R'!X4))/'REKAP A.R'!G4)/((1-('REKAP A.R'!J4+'REKAP A.R'!Y4)/'REKAP A.R'!J5))</f>
        <v>5.8368803995233156E-5</v>
      </c>
      <c r="J4">
        <f>'REKAP A.R'!R4/'REKAP A.R'!S4</f>
        <v>1.1117537198112066</v>
      </c>
      <c r="K4">
        <f>('REKAP A.R'!AA4/('REKAP A.R'!AA4+'REKAP A.R'!Y4))/('REKAP A.R'!Z4/('REKAP A.R'!Z4+'REKAP A.R'!X4))</f>
        <v>0.8258522000326689</v>
      </c>
      <c r="L4">
        <f>('REKAP A.R'!AB4/'REKAP A.R'!R4)/('REKAP A.R'!AC4/'REKAP A.R'!S4)</f>
        <v>0.93384337350225211</v>
      </c>
      <c r="M4" s="5">
        <f>(('REKAP A.R'!AD4+'REKAP A.R'!AF4)/'REKAP A.R'!G4)/(('REKAP A.R'!AE4+'REKAP A.R'!AG4)/'REKAP A.R'!H4)</f>
        <v>1.2094118604987107</v>
      </c>
      <c r="N4" s="2">
        <f>(('REKAP A.R'!AN4-'REKAP A.R'!AO4)-('REKAP A.R'!AP4-'REKAP A.R'!AQ4)-('REKAP A.R'!AL4-'REKAP A.R'!AM4)-('REKAP A.R'!Z4))/'REKAP A.R'!G4</f>
        <v>-0.1173967902907169</v>
      </c>
    </row>
    <row r="5" spans="1:14" x14ac:dyDescent="0.25">
      <c r="A5">
        <v>4</v>
      </c>
      <c r="B5">
        <f>'REKAP A.R'!F5/'REKAP A.R'!G5</f>
        <v>5.8506856442011583E-2</v>
      </c>
      <c r="C5" s="6">
        <f>'REKAP A.R'!N5/'REKAP A.R'!O5</f>
        <v>0.375</v>
      </c>
      <c r="D5" s="2">
        <f>('REKAP A.R'!AJ5-'REKAP A.R'!AK5)/'REKAP A.R'!G5</f>
        <v>3.9484946739739943E-2</v>
      </c>
      <c r="E5">
        <f>'REKAP A.R'!AH5</f>
        <v>0</v>
      </c>
      <c r="F5">
        <f>'REKAP A.R'!AI5</f>
        <v>1</v>
      </c>
      <c r="G5" s="3">
        <f>('REKAP A.R'!P5-'REKAP A.R'!R5)/('REKAP A.R'!Q5-'REKAP A.R'!S5)</f>
        <v>1.1953122251585615</v>
      </c>
      <c r="H5" s="7">
        <f>(('REKAP A.R'!S5-'REKAP A.R'!V5)/'REKAP A.R'!S5)/(('REKAP A.R'!R5-'REKAP A.R'!U5)/'REKAP A.R'!R5)</f>
        <v>0</v>
      </c>
      <c r="I5" s="4">
        <f>((1-('REKAP A.R'!I5+'REKAP A.R'!X5))/'REKAP A.R'!G5)/((1-('REKAP A.R'!J5+'REKAP A.R'!Y5)/'REKAP A.R'!J5))</f>
        <v>0.79898280948749034</v>
      </c>
      <c r="J5">
        <f>'REKAP A.R'!R5/'REKAP A.R'!S5</f>
        <v>1.0529135005856785</v>
      </c>
      <c r="K5">
        <f>('REKAP A.R'!AA5/('REKAP A.R'!AA5+'REKAP A.R'!Y5))/('REKAP A.R'!Z5/('REKAP A.R'!Z5+'REKAP A.R'!X5))</f>
        <v>1.0142817586758754</v>
      </c>
      <c r="L5">
        <f>('REKAP A.R'!AB5/'REKAP A.R'!R5)/('REKAP A.R'!AC5/'REKAP A.R'!S5)</f>
        <v>0.97120560718771043</v>
      </c>
      <c r="M5" s="5">
        <f>(('REKAP A.R'!AD5+'REKAP A.R'!AF5)/'REKAP A.R'!G5)/(('REKAP A.R'!AE5+'REKAP A.R'!AG5)/'REKAP A.R'!H5)</f>
        <v>1.0065359385214501</v>
      </c>
      <c r="N5" s="2">
        <f>(('REKAP A.R'!AN5-'REKAP A.R'!AO5)-('REKAP A.R'!AP5-'REKAP A.R'!AQ5)-('REKAP A.R'!AL5-'REKAP A.R'!AM5)-('REKAP A.R'!Z5))/'REKAP A.R'!G5</f>
        <v>-0.19242588721917508</v>
      </c>
    </row>
    <row r="6" spans="1:14" x14ac:dyDescent="0.25">
      <c r="A6">
        <v>5</v>
      </c>
      <c r="B6">
        <f>'REKAP A.R'!F6/'REKAP A.R'!G6</f>
        <v>5.1398014100094022E-2</v>
      </c>
      <c r="C6" s="6">
        <f>'REKAP A.R'!N6/'REKAP A.R'!O6</f>
        <v>0.375</v>
      </c>
      <c r="D6" s="2">
        <f>('REKAP A.R'!AJ6-'REKAP A.R'!AK7)/'REKAP A.R'!G6</f>
        <v>0.6230441183886154</v>
      </c>
      <c r="E6">
        <f>'REKAP A.R'!AH6</f>
        <v>0</v>
      </c>
      <c r="F6">
        <f>'REKAP A.R'!AI6</f>
        <v>1</v>
      </c>
      <c r="G6" s="3">
        <f>('REKAP A.R'!P6-'REKAP A.R'!R6)/('REKAP A.R'!Q6-'REKAP A.R'!S6)</f>
        <v>0.87122443895735624</v>
      </c>
      <c r="H6" s="7">
        <f>(('REKAP A.R'!S6-'REKAP A.R'!V6)/'REKAP A.R'!S6)/(('REKAP A.R'!R6-'REKAP A.R'!U6)/'REKAP A.R'!R6)</f>
        <v>1.0279375095864625</v>
      </c>
      <c r="I6" s="4">
        <f>((1-('REKAP A.R'!I6+'REKAP A.R'!X6))/'REKAP A.R'!G6)/((1-('REKAP A.R'!J6+'REKAP A.R'!Y6)/'REKAP A.R'!J6))</f>
        <v>0.8555231351461039</v>
      </c>
      <c r="J6">
        <f>'REKAP A.R'!R6/'REKAP A.R'!S6</f>
        <v>1.0457082858729565</v>
      </c>
      <c r="K6">
        <f>('REKAP A.R'!AA6/('REKAP A.R'!AA6+'REKAP A.R'!Y6))/('REKAP A.R'!Z6/('REKAP A.R'!Z6+'REKAP A.R'!X6))</f>
        <v>1.0324941106909697</v>
      </c>
      <c r="L6">
        <f>('REKAP A.R'!AB6/'REKAP A.R'!R6)/('REKAP A.R'!AC6/'REKAP A.R'!S6)</f>
        <v>0.59015966793613628</v>
      </c>
      <c r="M6" s="5">
        <f>(('REKAP A.R'!AD6+'REKAP A.R'!AF6)/'REKAP A.R'!G6)/(('REKAP A.R'!AE6+'REKAP A.R'!AG6)/'REKAP A.R'!H6)</f>
        <v>1.031223044666564</v>
      </c>
      <c r="N6" s="2">
        <f>(('REKAP A.R'!AN6-'REKAP A.R'!AO6)-('REKAP A.R'!AP6-'REKAP A.R'!AQ6)-('REKAP A.R'!AL6-'REKAP A.R'!AM6)-('REKAP A.R'!Z6))/'REKAP A.R'!G6</f>
        <v>-0.28859217999963455</v>
      </c>
    </row>
    <row r="7" spans="1:14" x14ac:dyDescent="0.25">
      <c r="A7">
        <v>6</v>
      </c>
      <c r="B7">
        <f>'REKAP A.R'!F7/'REKAP A.R'!G7</f>
        <v>6.1359848435983327E-2</v>
      </c>
      <c r="C7" s="6">
        <f>'REKAP A.R'!N7/'REKAP A.R'!O7</f>
        <v>0.375</v>
      </c>
      <c r="D7" s="2">
        <f>('REKAP A.R'!AJ7-'REKAP A.R'!AK8)/'REKAP A.R'!G7</f>
        <v>-2497.2880684002762</v>
      </c>
      <c r="E7">
        <f>'REKAP A.R'!AH7</f>
        <v>0</v>
      </c>
      <c r="F7">
        <f>'REKAP A.R'!AI7</f>
        <v>1</v>
      </c>
      <c r="G7" s="3">
        <f>('REKAP A.R'!P7-'REKAP A.R'!R7)/('REKAP A.R'!Q7-'REKAP A.R'!S7)</f>
        <v>1.2800151894157037</v>
      </c>
      <c r="H7" s="7">
        <f>(('REKAP A.R'!S7-'REKAP A.R'!V7)/'REKAP A.R'!S7)/(('REKAP A.R'!R7-'REKAP A.R'!U7)/'REKAP A.R'!R7)</f>
        <v>0.9285271246994391</v>
      </c>
      <c r="I7" s="4">
        <f>((1-('REKAP A.R'!I7+'REKAP A.R'!X7))/'REKAP A.R'!G7)/((1-('REKAP A.R'!J7+'REKAP A.R'!Y7)/'REKAP A.R'!J7))</f>
        <v>0.60769981443726817</v>
      </c>
      <c r="J7">
        <f>'REKAP A.R'!R7/'REKAP A.R'!S7</f>
        <v>1.0435757047835916</v>
      </c>
      <c r="K7">
        <f>('REKAP A.R'!AA7/('REKAP A.R'!AA7+'REKAP A.R'!Y7))/('REKAP A.R'!Z7/('REKAP A.R'!Z7+'REKAP A.R'!X7))</f>
        <v>0.94573542196992433</v>
      </c>
      <c r="L7">
        <f>('REKAP A.R'!AB7/'REKAP A.R'!R7)/('REKAP A.R'!AC7/'REKAP A.R'!S7)</f>
        <v>1.0077823473640082</v>
      </c>
      <c r="M7" s="5">
        <f>(('REKAP A.R'!AD7+'REKAP A.R'!AF7)/'REKAP A.R'!G7)/(('REKAP A.R'!AE7+'REKAP A.R'!AG7)/'REKAP A.R'!H7)</f>
        <v>0.90397397329697682</v>
      </c>
      <c r="N7" s="2">
        <f>(('REKAP A.R'!AN7-'REKAP A.R'!AO7)-('REKAP A.R'!AP7-'REKAP A.R'!AQ7)-('REKAP A.R'!AL7-'REKAP A.R'!AM7)-('REKAP A.R'!Z7))/'REKAP A.R'!G7</f>
        <v>-0.27955523741265187</v>
      </c>
    </row>
    <row r="8" spans="1:14" x14ac:dyDescent="0.25">
      <c r="A8">
        <v>7</v>
      </c>
      <c r="B8">
        <f>'REKAP A.R'!F8/'REKAP A.R'!G8</f>
        <v>3.3881938404455109E-2</v>
      </c>
      <c r="C8" s="6">
        <f>'REKAP A.R'!N8/'REKAP A.R'!O8</f>
        <v>0.5</v>
      </c>
      <c r="D8" s="2">
        <f>('REKAP A.R'!AJ8-'REKAP A.R'!AK9)/'REKAP A.R'!G8</f>
        <v>0.93982223567753809</v>
      </c>
      <c r="E8">
        <f>'REKAP A.R'!AH8</f>
        <v>0</v>
      </c>
      <c r="F8">
        <f>'REKAP A.R'!AI8</f>
        <v>1</v>
      </c>
      <c r="G8" s="3">
        <f>('REKAP A.R'!P8-'REKAP A.R'!R8)/('REKAP A.R'!Q8-'REKAP A.R'!S8)</f>
        <v>0.89368626481237612</v>
      </c>
      <c r="H8" s="7">
        <f>(('REKAP A.R'!S8-'REKAP A.R'!V8)/'REKAP A.R'!S8)/(('REKAP A.R'!R8-'REKAP A.R'!U8)/'REKAP A.R'!R8)</f>
        <v>0.95511043586486222</v>
      </c>
      <c r="I8" s="4">
        <f>((1-('REKAP A.R'!I8+'REKAP A.R'!X8))/'REKAP A.R'!G8)/((1-('REKAP A.R'!J8+'REKAP A.R'!Y8)/'REKAP A.R'!J8))</f>
        <v>1.4424687560543339</v>
      </c>
      <c r="J8">
        <f>'REKAP A.R'!R8/'REKAP A.R'!S8</f>
        <v>0.904841467077662</v>
      </c>
      <c r="K8">
        <f>('REKAP A.R'!AA8/('REKAP A.R'!AA8+'REKAP A.R'!Y8))/('REKAP A.R'!Z8/('REKAP A.R'!Z8+'REKAP A.R'!X8))</f>
        <v>0.96531045220398015</v>
      </c>
      <c r="L8">
        <f>('REKAP A.R'!AB8/'REKAP A.R'!R8)/('REKAP A.R'!AC8/'REKAP A.R'!S8)</f>
        <v>1.0458439347482895</v>
      </c>
      <c r="M8" s="5">
        <f>(('REKAP A.R'!AD8+'REKAP A.R'!AF8)/'REKAP A.R'!G8)/(('REKAP A.R'!AE8+'REKAP A.R'!AG8)/'REKAP A.R'!H8)</f>
        <v>0.90027589836287669</v>
      </c>
      <c r="N8" s="2">
        <f>(('REKAP A.R'!AN8-'REKAP A.R'!AO8)-('REKAP A.R'!AP8-'REKAP A.R'!AQ8)-('REKAP A.R'!AL8-'REKAP A.R'!AM8)-('REKAP A.R'!Z8))/'REKAP A.R'!G8</f>
        <v>-9.7010632901919636E-2</v>
      </c>
    </row>
    <row r="9" spans="1:14" x14ac:dyDescent="0.25">
      <c r="A9">
        <v>8</v>
      </c>
      <c r="B9">
        <f>'REKAP A.R'!F9/'REKAP A.R'!G9</f>
        <v>3.196838989098566E-2</v>
      </c>
      <c r="C9" s="6">
        <f>'REKAP A.R'!N9/'REKAP A.R'!O9</f>
        <v>0.5</v>
      </c>
      <c r="D9" s="2">
        <f>('REKAP A.R'!AJ9-'REKAP A.R'!AK10)/'REKAP A.R'!G9</f>
        <v>0.73406731556852733</v>
      </c>
      <c r="E9">
        <f>'REKAP A.R'!AH9</f>
        <v>0</v>
      </c>
      <c r="F9">
        <f>'REKAP A.R'!AI9</f>
        <v>1</v>
      </c>
      <c r="G9" s="3">
        <f>('REKAP A.R'!P9-'REKAP A.R'!R9)/('REKAP A.R'!Q9-'REKAP A.R'!S9)</f>
        <v>0.95499083274428065</v>
      </c>
      <c r="H9" s="7">
        <f>(('REKAP A.R'!S9-'REKAP A.R'!V9)/'REKAP A.R'!S9)/(('REKAP A.R'!R9-'REKAP A.R'!U9)/'REKAP A.R'!R9)</f>
        <v>0.92524021144108493</v>
      </c>
      <c r="I9" s="4">
        <f>((1-('REKAP A.R'!I9+'REKAP A.R'!X9))/'REKAP A.R'!G9)/((1-('REKAP A.R'!J9+'REKAP A.R'!Y9)/'REKAP A.R'!J9))</f>
        <v>1.0400926918758198</v>
      </c>
      <c r="J9">
        <f>'REKAP A.R'!R9/'REKAP A.R'!S9</f>
        <v>1.1427107105337582</v>
      </c>
      <c r="K9">
        <f>('REKAP A.R'!AA9/('REKAP A.R'!AA9+'REKAP A.R'!Y9))/('REKAP A.R'!Z9/('REKAP A.R'!Z9+'REKAP A.R'!X9))</f>
        <v>1.032096254092844</v>
      </c>
      <c r="L9">
        <f>('REKAP A.R'!AB9/'REKAP A.R'!R9)/('REKAP A.R'!AC9/'REKAP A.R'!S9)</f>
        <v>0.96558965781898409</v>
      </c>
      <c r="M9" s="5">
        <f>(('REKAP A.R'!AD9+'REKAP A.R'!AF9)/'REKAP A.R'!G9)/(('REKAP A.R'!AE9+'REKAP A.R'!AG9)/'REKAP A.R'!H9)</f>
        <v>0.81940910199938044</v>
      </c>
      <c r="N9" s="2">
        <f>(('REKAP A.R'!AN9-'REKAP A.R'!AO9)-('REKAP A.R'!AP9-'REKAP A.R'!AQ9)-('REKAP A.R'!AL9-'REKAP A.R'!AM9)-('REKAP A.R'!Z9))/'REKAP A.R'!G9</f>
        <v>-7.7922208090891995E-2</v>
      </c>
    </row>
    <row r="10" spans="1:14" x14ac:dyDescent="0.25">
      <c r="A10">
        <v>9</v>
      </c>
      <c r="B10">
        <f>'REKAP A.R'!F10/'REKAP A.R'!G10</f>
        <v>0.1435355708051318</v>
      </c>
      <c r="C10" s="6">
        <f>'REKAP A.R'!N10/'REKAP A.R'!O10</f>
        <v>0.5</v>
      </c>
      <c r="D10" s="2">
        <f>('REKAP A.R'!AJ10-'REKAP A.R'!AK11)/'REKAP A.R'!G10</f>
        <v>1.2158108477604934</v>
      </c>
      <c r="E10">
        <f>'REKAP A.R'!AH10</f>
        <v>0</v>
      </c>
      <c r="F10">
        <f>'REKAP A.R'!AI10</f>
        <v>1</v>
      </c>
      <c r="G10" s="3">
        <f>('REKAP A.R'!P10-'REKAP A.R'!R10)/('REKAP A.R'!Q10-'REKAP A.R'!S10)</f>
        <v>1.6719197091032323</v>
      </c>
      <c r="H10" s="7">
        <f>(('REKAP A.R'!S10-'REKAP A.R'!V10)/'REKAP A.R'!S10)/(('REKAP A.R'!R10-'REKAP A.R'!U10)/'REKAP A.R'!R10)</f>
        <v>0.97178041304847362</v>
      </c>
      <c r="I10" s="4">
        <f>((1-('REKAP A.R'!I10+'REKAP A.R'!X10))/'REKAP A.R'!G10)/((1-('REKAP A.R'!J10+'REKAP A.R'!Y10)/'REKAP A.R'!J10))</f>
        <v>1.7448905697485833</v>
      </c>
      <c r="J10">
        <f>'REKAP A.R'!R10/'REKAP A.R'!S10</f>
        <v>1.2954775685546132</v>
      </c>
      <c r="K10">
        <f>('REKAP A.R'!AA10/('REKAP A.R'!AA10+'REKAP A.R'!Y10))/('REKAP A.R'!Z10/('REKAP A.R'!Z10+'REKAP A.R'!X10))</f>
        <v>63.304998446489215</v>
      </c>
      <c r="L10">
        <f>('REKAP A.R'!AB10/'REKAP A.R'!R10)/('REKAP A.R'!AC10/'REKAP A.R'!S10)</f>
        <v>0.85169954103211998</v>
      </c>
      <c r="M10" s="5">
        <f>(('REKAP A.R'!AD10+'REKAP A.R'!AF10)/'REKAP A.R'!G10)/(('REKAP A.R'!AE10+'REKAP A.R'!AG10)/'REKAP A.R'!H10)</f>
        <v>1.8538659911326458</v>
      </c>
      <c r="N10" s="2">
        <f>(('REKAP A.R'!AN10-'REKAP A.R'!AO10)-('REKAP A.R'!AP10-'REKAP A.R'!AQ10)-('REKAP A.R'!AL10-'REKAP A.R'!AM10)-('REKAP A.R'!Z10))/'REKAP A.R'!G10</f>
        <v>-2.2778961586391672E-2</v>
      </c>
    </row>
    <row r="11" spans="1:14" x14ac:dyDescent="0.25">
      <c r="A11">
        <v>10</v>
      </c>
      <c r="B11">
        <f>'REKAP A.R'!F11/'REKAP A.R'!G11</f>
        <v>0.11205652939510709</v>
      </c>
      <c r="C11" s="6">
        <f>'REKAP A.R'!N11/'REKAP A.R'!O11</f>
        <v>0.5</v>
      </c>
      <c r="D11" s="2">
        <f>('REKAP A.R'!AJ11-'REKAP A.R'!AK12)/'REKAP A.R'!G11</f>
        <v>0.97916078027005726</v>
      </c>
      <c r="E11">
        <f>'REKAP A.R'!AH11</f>
        <v>0</v>
      </c>
      <c r="F11">
        <f>'REKAP A.R'!AI11</f>
        <v>1</v>
      </c>
      <c r="G11" s="3">
        <f>('REKAP A.R'!P11-'REKAP A.R'!R11)/('REKAP A.R'!Q11-'REKAP A.R'!S11)</f>
        <v>1.0352746767717003</v>
      </c>
      <c r="H11" s="7">
        <f>(('REKAP A.R'!S11-'REKAP A.R'!V11)/'REKAP A.R'!S11)/(('REKAP A.R'!R11-'REKAP A.R'!U11)/'REKAP A.R'!R11)</f>
        <v>1.0086250742338065</v>
      </c>
      <c r="I11" s="4">
        <f>((1-('REKAP A.R'!I11+'REKAP A.R'!X11))/'REKAP A.R'!G11)/((1-('REKAP A.R'!J11+'REKAP A.R'!Y11)/'REKAP A.R'!J11))</f>
        <v>1.7097381692915752</v>
      </c>
      <c r="J11">
        <f>'REKAP A.R'!R11/'REKAP A.R'!S11</f>
        <v>1.0358210486176735</v>
      </c>
      <c r="K11">
        <f>('REKAP A.R'!AA11/('REKAP A.R'!AA11+'REKAP A.R'!Y11))/('REKAP A.R'!Z11/('REKAP A.R'!Z11+'REKAP A.R'!X11))</f>
        <v>0.9991578012388056</v>
      </c>
      <c r="L11">
        <f>('REKAP A.R'!AB11/'REKAP A.R'!R11)/('REKAP A.R'!AC11/'REKAP A.R'!S11)</f>
        <v>0.97369016158009702</v>
      </c>
      <c r="M11" s="5">
        <f>(('REKAP A.R'!AD11+'REKAP A.R'!AF11)/'REKAP A.R'!G11)/(('REKAP A.R'!AE11+'REKAP A.R'!AG11)/'REKAP A.R'!H11)</f>
        <v>0.99262433754304058</v>
      </c>
      <c r="N11" s="2">
        <f>(('REKAP A.R'!AN11-'REKAP A.R'!AO11)-('REKAP A.R'!AP11-'REKAP A.R'!AQ11)-('REKAP A.R'!AL11-'REKAP A.R'!AM11)-('REKAP A.R'!Z11))/'REKAP A.R'!G11</f>
        <v>-0.15034845254104792</v>
      </c>
    </row>
    <row r="12" spans="1:14" x14ac:dyDescent="0.25">
      <c r="A12">
        <v>11</v>
      </c>
      <c r="B12">
        <f>'REKAP A.R'!F12/'REKAP A.R'!G12</f>
        <v>0.13555911948830909</v>
      </c>
      <c r="C12" s="6">
        <f>'REKAP A.R'!N12/'REKAP A.R'!O12</f>
        <v>0.5</v>
      </c>
      <c r="D12" s="2">
        <f>('REKAP A.R'!AJ12-'REKAP A.R'!AK13)/'REKAP A.R'!G12</f>
        <v>0.90819096944108235</v>
      </c>
      <c r="E12">
        <f>'REKAP A.R'!AH12</f>
        <v>0</v>
      </c>
      <c r="F12">
        <f>'REKAP A.R'!AI12</f>
        <v>1</v>
      </c>
      <c r="G12" s="3">
        <f>('REKAP A.R'!P12-'REKAP A.R'!R12)/('REKAP A.R'!Q12-'REKAP A.R'!S12)</f>
        <v>1.0803481204125078</v>
      </c>
      <c r="H12" s="7">
        <f>(('REKAP A.R'!S12-'REKAP A.R'!V12)/'REKAP A.R'!S12)/(('REKAP A.R'!R12-'REKAP A.R'!U12)/'REKAP A.R'!R12)</f>
        <v>0.97269077663766768</v>
      </c>
      <c r="I12" s="4">
        <f>((1-('REKAP A.R'!I12+'REKAP A.R'!X12))/'REKAP A.R'!G12)/((1-('REKAP A.R'!J12+'REKAP A.R'!Y12)/'REKAP A.R'!J12))</f>
        <v>1.4771026014521873</v>
      </c>
      <c r="J12">
        <f>'REKAP A.R'!R12/'REKAP A.R'!S12</f>
        <v>1.0788284911167996</v>
      </c>
      <c r="K12">
        <f>('REKAP A.R'!AA12/('REKAP A.R'!AA12+'REKAP A.R'!Y12))/('REKAP A.R'!Z12/('REKAP A.R'!Z12+'REKAP A.R'!X12))</f>
        <v>1.0947939652310341</v>
      </c>
      <c r="L12">
        <f>('REKAP A.R'!AB12/'REKAP A.R'!R12)/('REKAP A.R'!AC12/'REKAP A.R'!S12)</f>
        <v>1.1471406383696081</v>
      </c>
      <c r="M12" s="5">
        <f>(('REKAP A.R'!AD12+'REKAP A.R'!AF12)/'REKAP A.R'!G12)/(('REKAP A.R'!AE12+'REKAP A.R'!AG12)/'REKAP A.R'!H12)</f>
        <v>0.94976680409960934</v>
      </c>
      <c r="N12" s="2">
        <f>(('REKAP A.R'!AN12-'REKAP A.R'!AO12)-('REKAP A.R'!AP12-'REKAP A.R'!AQ12)-('REKAP A.R'!AL12-'REKAP A.R'!AM12)-('REKAP A.R'!Z12))/'REKAP A.R'!G12</f>
        <v>-0.13052757090469497</v>
      </c>
    </row>
    <row r="13" spans="1:14" x14ac:dyDescent="0.25">
      <c r="A13">
        <v>12</v>
      </c>
      <c r="B13">
        <f>'REKAP A.R'!F13/'REKAP A.R'!G13</f>
        <v>0.13846871582379372</v>
      </c>
      <c r="C13" s="6">
        <f>'REKAP A.R'!N13/'REKAP A.R'!O13</f>
        <v>0.5</v>
      </c>
      <c r="D13" s="2">
        <f>('REKAP A.R'!AJ13-'REKAP A.R'!AK14)/'REKAP A.R'!G13</f>
        <v>1.0173905432682171</v>
      </c>
      <c r="E13">
        <f>'REKAP A.R'!AH13</f>
        <v>0</v>
      </c>
      <c r="F13">
        <f>'REKAP A.R'!AI13</f>
        <v>1</v>
      </c>
      <c r="G13" s="3">
        <f>('REKAP A.R'!P13-'REKAP A.R'!R13)/('REKAP A.R'!Q13-'REKAP A.R'!S13)</f>
        <v>1.1155657587223602</v>
      </c>
      <c r="H13" s="7">
        <f>(('REKAP A.R'!S13-'REKAP A.R'!V13)/'REKAP A.R'!S13)/(('REKAP A.R'!R13-'REKAP A.R'!U13)/'REKAP A.R'!R13)</f>
        <v>0.93762075125777422</v>
      </c>
      <c r="I13" s="4">
        <f>((1-('REKAP A.R'!I13+'REKAP A.R'!X13))/'REKAP A.R'!G13)/((1-('REKAP A.R'!J13+'REKAP A.R'!Y13)/'REKAP A.R'!J13))</f>
        <v>0.94983612148412744</v>
      </c>
      <c r="J13">
        <f>'REKAP A.R'!R13/'REKAP A.R'!S13</f>
        <v>1.1010922046045017</v>
      </c>
      <c r="K13">
        <f>('REKAP A.R'!AA13/('REKAP A.R'!AA13+'REKAP A.R'!Y13))/('REKAP A.R'!Z13/('REKAP A.R'!Z13+'REKAP A.R'!X13))</f>
        <v>0.94392829010060908</v>
      </c>
      <c r="L13">
        <f>('REKAP A.R'!AB13/'REKAP A.R'!R13)/('REKAP A.R'!AC13/'REKAP A.R'!S13)</f>
        <v>0.93269609827803257</v>
      </c>
      <c r="M13" s="5">
        <f>(('REKAP A.R'!AD13+'REKAP A.R'!AF13)/'REKAP A.R'!G13)/(('REKAP A.R'!AE13+'REKAP A.R'!AG13)/'REKAP A.R'!H13)</f>
        <v>0.91662423254523251</v>
      </c>
      <c r="N13" s="2">
        <f>(('REKAP A.R'!AN13-'REKAP A.R'!AO13)-('REKAP A.R'!AP13-'REKAP A.R'!AQ13)-('REKAP A.R'!AL13-'REKAP A.R'!AM13)-('REKAP A.R'!Z13))/'REKAP A.R'!G13</f>
        <v>-0.18222846832160342</v>
      </c>
    </row>
    <row r="14" spans="1:14" x14ac:dyDescent="0.25">
      <c r="A14">
        <v>13</v>
      </c>
      <c r="B14">
        <f>'REKAP A.R'!F14/'REKAP A.R'!G14</f>
        <v>0.52670355263860325</v>
      </c>
      <c r="C14" s="6">
        <f>'REKAP A.R'!N14/'REKAP A.R'!O14</f>
        <v>0.33333333333333331</v>
      </c>
      <c r="D14" s="2">
        <f>('REKAP A.R'!AJ14-'REKAP A.R'!AK15)/'REKAP A.R'!G14</f>
        <v>0</v>
      </c>
      <c r="E14">
        <f>'REKAP A.R'!AH14</f>
        <v>0</v>
      </c>
      <c r="F14">
        <f>'REKAP A.R'!AI14</f>
        <v>1</v>
      </c>
      <c r="G14" s="3">
        <f>('REKAP A.R'!P14-'REKAP A.R'!R14)/('REKAP A.R'!Q14-'REKAP A.R'!S14)</f>
        <v>0.9474088274965019</v>
      </c>
      <c r="H14" s="7">
        <f>(('REKAP A.R'!S14-'REKAP A.R'!V14)/'REKAP A.R'!S14)/(('REKAP A.R'!R14-'REKAP A.R'!U14)/'REKAP A.R'!R14)</f>
        <v>0.98206036242757444</v>
      </c>
      <c r="I14" s="4">
        <f>((1-('REKAP A.R'!I14+'REKAP A.R'!X14))/'REKAP A.R'!G14)/((1-('REKAP A.R'!J14+'REKAP A.R'!Y14)/'REKAP A.R'!J14))</f>
        <v>0.68577443247097203</v>
      </c>
      <c r="J14">
        <f>'REKAP A.R'!R14/'REKAP A.R'!S14</f>
        <v>1.0387413274432011</v>
      </c>
      <c r="K14">
        <f>('REKAP A.R'!AA14/('REKAP A.R'!AA14+'REKAP A.R'!Y14))/('REKAP A.R'!Z14/('REKAP A.R'!Z14+'REKAP A.R'!X14))</f>
        <v>1.0331316459988678</v>
      </c>
      <c r="L14">
        <f>('REKAP A.R'!AB14/'REKAP A.R'!R14)/('REKAP A.R'!AC14/'REKAP A.R'!S14)</f>
        <v>0.8156535386026349</v>
      </c>
      <c r="M14" s="5">
        <f>(('REKAP A.R'!AD14+'REKAP A.R'!AF14)/'REKAP A.R'!G14)/(('REKAP A.R'!AE14+'REKAP A.R'!AG14)/'REKAP A.R'!H14)</f>
        <v>0.90061257840387199</v>
      </c>
      <c r="N14" s="2">
        <f>(('REKAP A.R'!AN14-'REKAP A.R'!AO14)-('REKAP A.R'!AP14-'REKAP A.R'!AQ14)-('REKAP A.R'!AL14-'REKAP A.R'!AM14)-('REKAP A.R'!Z14))/'REKAP A.R'!G14</f>
        <v>0.15016968636034417</v>
      </c>
    </row>
    <row r="15" spans="1:14" x14ac:dyDescent="0.25">
      <c r="A15">
        <v>14</v>
      </c>
      <c r="B15">
        <f>'REKAP A.R'!F15/'REKAP A.R'!G15</f>
        <v>0.4238818398055581</v>
      </c>
      <c r="C15" s="6">
        <f>'REKAP A.R'!N15/'REKAP A.R'!O15</f>
        <v>0.33333333333333331</v>
      </c>
      <c r="D15" s="2">
        <f>('REKAP A.R'!AJ15-'REKAP A.R'!AK16)/'REKAP A.R'!G15</f>
        <v>0</v>
      </c>
      <c r="E15">
        <f>'REKAP A.R'!AH15</f>
        <v>0</v>
      </c>
      <c r="F15">
        <f>'REKAP A.R'!AI15</f>
        <v>1</v>
      </c>
      <c r="G15" s="3">
        <f>('REKAP A.R'!P15-'REKAP A.R'!R15)/('REKAP A.R'!Q15-'REKAP A.R'!S15)</f>
        <v>1.0538873738659067</v>
      </c>
      <c r="H15" s="7">
        <f>(('REKAP A.R'!S15-'REKAP A.R'!V15)/'REKAP A.R'!S15)/(('REKAP A.R'!R15-'REKAP A.R'!U15)/'REKAP A.R'!R15)</f>
        <v>1.084015375006526</v>
      </c>
      <c r="I15" s="4">
        <f>((1-('REKAP A.R'!I15+'REKAP A.R'!X15))/'REKAP A.R'!G15)/((1-('REKAP A.R'!J15+'REKAP A.R'!Y15)/'REKAP A.R'!J15))</f>
        <v>0.75213901898645397</v>
      </c>
      <c r="J15">
        <f>'REKAP A.R'!R15/'REKAP A.R'!S15</f>
        <v>1.0545956971280359</v>
      </c>
      <c r="K15">
        <f>('REKAP A.R'!AA15/('REKAP A.R'!AA15+'REKAP A.R'!Y15))/('REKAP A.R'!Z15/('REKAP A.R'!Z15+'REKAP A.R'!X15))</f>
        <v>1.4261269781221985E-3</v>
      </c>
      <c r="L15">
        <f>('REKAP A.R'!AB15/'REKAP A.R'!R15)/('REKAP A.R'!AC15/'REKAP A.R'!S15)</f>
        <v>1.0753975914744793</v>
      </c>
      <c r="M15" s="5">
        <f>(('REKAP A.R'!AD15+'REKAP A.R'!AF15)/'REKAP A.R'!G15)/(('REKAP A.R'!AE15+'REKAP A.R'!AG15)/'REKAP A.R'!H15)</f>
        <v>1.035067920790119</v>
      </c>
      <c r="N15" s="2">
        <f>(('REKAP A.R'!AN15-'REKAP A.R'!AO15)-('REKAP A.R'!AP15-'REKAP A.R'!AQ15)-('REKAP A.R'!AL15-'REKAP A.R'!AM15)-('REKAP A.R'!Z15))/'REKAP A.R'!G15</f>
        <v>-0.49027531051209189</v>
      </c>
    </row>
    <row r="16" spans="1:14" x14ac:dyDescent="0.25">
      <c r="A16">
        <v>15</v>
      </c>
      <c r="B16">
        <f>'REKAP A.R'!F16/'REKAP A.R'!G16</f>
        <v>4.1632026786793004</v>
      </c>
      <c r="C16" s="6">
        <f>'REKAP A.R'!N16/'REKAP A.R'!O16</f>
        <v>0.33333333333333331</v>
      </c>
      <c r="D16" s="2">
        <f>('REKAP A.R'!AJ16-'REKAP A.R'!AK17)/'REKAP A.R'!G16</f>
        <v>3.4224857177376204</v>
      </c>
      <c r="E16">
        <f>'REKAP A.R'!AH16</f>
        <v>1</v>
      </c>
      <c r="F16">
        <f>'REKAP A.R'!AI16</f>
        <v>1</v>
      </c>
      <c r="G16" s="3">
        <f>('REKAP A.R'!P16-'REKAP A.R'!R16)/('REKAP A.R'!Q16-'REKAP A.R'!S16)</f>
        <v>0.96012202786109735</v>
      </c>
      <c r="H16" s="7">
        <f>(('REKAP A.R'!S16-'REKAP A.R'!V16)/'REKAP A.R'!S16)/(('REKAP A.R'!R16-'REKAP A.R'!U16)/'REKAP A.R'!R16)</f>
        <v>1.0041354641308211</v>
      </c>
      <c r="I16" s="4">
        <f>((1-('REKAP A.R'!I16+'REKAP A.R'!X16))/'REKAP A.R'!G16)/((1-('REKAP A.R'!J16+'REKAP A.R'!Y16)/'REKAP A.R'!J16))</f>
        <v>7.5769990339354472</v>
      </c>
      <c r="J16">
        <f>'REKAP A.R'!R16/'REKAP A.R'!S16</f>
        <v>1.0382130361941826</v>
      </c>
      <c r="K16">
        <f>('REKAP A.R'!AA16/('REKAP A.R'!AA16+'REKAP A.R'!Y16))/('REKAP A.R'!Z16/('REKAP A.R'!Z16+'REKAP A.R'!X16))</f>
        <v>1</v>
      </c>
      <c r="L16">
        <f>('REKAP A.R'!AB16/'REKAP A.R'!R16)/('REKAP A.R'!AC16/'REKAP A.R'!S16)</f>
        <v>1.0072022826339251</v>
      </c>
      <c r="M16" s="5">
        <f>(('REKAP A.R'!AD16+'REKAP A.R'!AF16)/'REKAP A.R'!G16)/(('REKAP A.R'!AE16+'REKAP A.R'!AG16)/'REKAP A.R'!H16)</f>
        <v>10.142138524683098</v>
      </c>
      <c r="N16" s="2">
        <f>(('REKAP A.R'!AN16-'REKAP A.R'!AO16)-('REKAP A.R'!AP16-'REKAP A.R'!AQ16)-('REKAP A.R'!AL16-'REKAP A.R'!AM16)-('REKAP A.R'!Z16))/'REKAP A.R'!G16</f>
        <v>-5.6438388684651102</v>
      </c>
    </row>
    <row r="17" spans="1:14" x14ac:dyDescent="0.25">
      <c r="A17">
        <v>16</v>
      </c>
      <c r="B17">
        <f>'REKAP A.R'!F17/'REKAP A.R'!G17</f>
        <v>0.16902011843462633</v>
      </c>
      <c r="C17" s="6">
        <f>'REKAP A.R'!N17/'REKAP A.R'!O17</f>
        <v>0.4</v>
      </c>
      <c r="D17" s="2">
        <f>('REKAP A.R'!AJ17-'REKAP A.R'!AK18)/'REKAP A.R'!G17</f>
        <v>0.53195081499006713</v>
      </c>
      <c r="E17">
        <f>'REKAP A.R'!AH17</f>
        <v>1</v>
      </c>
      <c r="F17">
        <f>'REKAP A.R'!AI17</f>
        <v>1</v>
      </c>
      <c r="G17" s="3">
        <f>('REKAP A.R'!P17-'REKAP A.R'!R17)/('REKAP A.R'!Q17-'REKAP A.R'!S17)</f>
        <v>0.97808987688883908</v>
      </c>
      <c r="H17" s="7">
        <f>(('REKAP A.R'!S17-'REKAP A.R'!V17)/'REKAP A.R'!S17)/(('REKAP A.R'!R17-'REKAP A.R'!U17)/'REKAP A.R'!R17)</f>
        <v>0.92316451506744401</v>
      </c>
      <c r="I17" s="4">
        <f>((1-('REKAP A.R'!I17+'REKAP A.R'!X17))/'REKAP A.R'!G17)/((1-('REKAP A.R'!J17+'REKAP A.R'!Y17)/'REKAP A.R'!J17))</f>
        <v>1.5369439662041944</v>
      </c>
      <c r="J17">
        <f>'REKAP A.R'!R17/'REKAP A.R'!S17</f>
        <v>1.004697467333592</v>
      </c>
      <c r="K17">
        <f>('REKAP A.R'!AA17/('REKAP A.R'!AA17+'REKAP A.R'!Y17))/('REKAP A.R'!Z17/('REKAP A.R'!Z17+'REKAP A.R'!X17))</f>
        <v>1.0055316746845013</v>
      </c>
      <c r="L17">
        <f>('REKAP A.R'!AB17/'REKAP A.R'!R17)/('REKAP A.R'!AC17/'REKAP A.R'!S17)</f>
        <v>1.240445489259183</v>
      </c>
      <c r="M17" s="5">
        <f>(('REKAP A.R'!AD17+'REKAP A.R'!AF17)/'REKAP A.R'!G17)/(('REKAP A.R'!AE17+'REKAP A.R'!AG17)/'REKAP A.R'!H17)</f>
        <v>1.0802449267898941</v>
      </c>
      <c r="N17" s="2">
        <f>(('REKAP A.R'!AN17-'REKAP A.R'!AO17)-('REKAP A.R'!AP17-'REKAP A.R'!AQ17)-('REKAP A.R'!AL17-'REKAP A.R'!AM17)-('REKAP A.R'!Z17))/'REKAP A.R'!G17</f>
        <v>-0.16400649990912539</v>
      </c>
    </row>
    <row r="18" spans="1:14" x14ac:dyDescent="0.25">
      <c r="A18">
        <v>17</v>
      </c>
      <c r="B18">
        <f>'REKAP A.R'!F18/'REKAP A.R'!G18</f>
        <v>0.19889843925086917</v>
      </c>
      <c r="C18" s="6">
        <f>'REKAP A.R'!N18/'REKAP A.R'!O18</f>
        <v>0.4</v>
      </c>
      <c r="D18" s="2">
        <f>('REKAP A.R'!AJ18-'REKAP A.R'!AK19)/'REKAP A.R'!G18</f>
        <v>0.58794569077200931</v>
      </c>
      <c r="E18">
        <f>'REKAP A.R'!AH18</f>
        <v>1</v>
      </c>
      <c r="F18">
        <f>'REKAP A.R'!AI18</f>
        <v>1</v>
      </c>
      <c r="G18" s="3">
        <f>('REKAP A.R'!P18-'REKAP A.R'!R18)/('REKAP A.R'!Q18-'REKAP A.R'!S18)</f>
        <v>1.0963993779693439</v>
      </c>
      <c r="H18" s="7">
        <f>(('REKAP A.R'!S18-'REKAP A.R'!V18)/'REKAP A.R'!S18)/(('REKAP A.R'!R18-'REKAP A.R'!U18)/'REKAP A.R'!R18)</f>
        <v>0.77903036207209242</v>
      </c>
      <c r="I18" s="4">
        <f>((1-('REKAP A.R'!I18+'REKAP A.R'!X18))/'REKAP A.R'!G18)/((1-('REKAP A.R'!J18+'REKAP A.R'!Y18)/'REKAP A.R'!J18))</f>
        <v>1.2438066999618345</v>
      </c>
      <c r="J18">
        <f>'REKAP A.R'!R18/'REKAP A.R'!S18</f>
        <v>1.0736067510023932</v>
      </c>
      <c r="K18">
        <f>('REKAP A.R'!AA18/('REKAP A.R'!AA18+'REKAP A.R'!Y18))/('REKAP A.R'!Z18/('REKAP A.R'!Z18+'REKAP A.R'!X18))</f>
        <v>1.0919712130465824</v>
      </c>
      <c r="L18">
        <f>('REKAP A.R'!AB18/'REKAP A.R'!R18)/('REKAP A.R'!AC18/'REKAP A.R'!S18)</f>
        <v>1.0976193661976497</v>
      </c>
      <c r="M18" s="5">
        <f>(('REKAP A.R'!AD18+'REKAP A.R'!AF18)/'REKAP A.R'!G18)/(('REKAP A.R'!AE18+'REKAP A.R'!AG18)/'REKAP A.R'!H18)</f>
        <v>1.5691040098758151</v>
      </c>
      <c r="N18" s="2">
        <f>(('REKAP A.R'!AN18-'REKAP A.R'!AO18)-('REKAP A.R'!AP18-'REKAP A.R'!AQ18)-('REKAP A.R'!AL18-'REKAP A.R'!AM18)-('REKAP A.R'!Z18))/'REKAP A.R'!G18</f>
        <v>-9.950030380857304E-2</v>
      </c>
    </row>
    <row r="19" spans="1:14" x14ac:dyDescent="0.25">
      <c r="A19">
        <v>18</v>
      </c>
      <c r="B19">
        <f>'REKAP A.R'!F19/'REKAP A.R'!G19</f>
        <v>0.22836084048790778</v>
      </c>
      <c r="C19" s="6">
        <f>'REKAP A.R'!N19/'REKAP A.R'!O19</f>
        <v>0.4</v>
      </c>
      <c r="D19" s="2">
        <f>('REKAP A.R'!AJ19-'REKAP A.R'!AK20)/'REKAP A.R'!G19</f>
        <v>0.29432711941367834</v>
      </c>
      <c r="E19">
        <f>'REKAP A.R'!AH19</f>
        <v>1</v>
      </c>
      <c r="F19">
        <f>'REKAP A.R'!AI19</f>
        <v>1</v>
      </c>
      <c r="G19" s="3">
        <f>('REKAP A.R'!P19-'REKAP A.R'!R19)/('REKAP A.R'!Q19-'REKAP A.R'!S19)</f>
        <v>1.0784332388192439</v>
      </c>
      <c r="H19" s="7">
        <f>(('REKAP A.R'!S19-'REKAP A.R'!V19)/'REKAP A.R'!S19)/(('REKAP A.R'!R19-'REKAP A.R'!U19)/'REKAP A.R'!R19)</f>
        <v>1.0818851793922004</v>
      </c>
      <c r="I19" s="4">
        <f>((1-('REKAP A.R'!I19+'REKAP A.R'!X19))/'REKAP A.R'!G19)/((1-('REKAP A.R'!J19+'REKAP A.R'!Y19)/'REKAP A.R'!J19))</f>
        <v>0.92976658569025994</v>
      </c>
      <c r="J19">
        <f>'REKAP A.R'!R19/'REKAP A.R'!S19</f>
        <v>1.1100650962692324</v>
      </c>
      <c r="K19">
        <f>('REKAP A.R'!AA19/('REKAP A.R'!AA19+'REKAP A.R'!Y19))/('REKAP A.R'!Z19/('REKAP A.R'!Z19+'REKAP A.R'!X19))</f>
        <v>0.91151184188458922</v>
      </c>
      <c r="L19">
        <f>('REKAP A.R'!AB19/'REKAP A.R'!R19)/('REKAP A.R'!AC19/'REKAP A.R'!S19)</f>
        <v>0.85186555648511464</v>
      </c>
      <c r="M19" s="5">
        <f>(('REKAP A.R'!AD19+'REKAP A.R'!AF19)/'REKAP A.R'!G19)/(('REKAP A.R'!AE19+'REKAP A.R'!AG19)/'REKAP A.R'!H19)</f>
        <v>1.0243063517570321</v>
      </c>
      <c r="N19" s="2">
        <f>(('REKAP A.R'!AN19-'REKAP A.R'!AO19)-('REKAP A.R'!AP19-'REKAP A.R'!AQ19)-('REKAP A.R'!AL19-'REKAP A.R'!AM19)-('REKAP A.R'!Z19))/'REKAP A.R'!G19</f>
        <v>-0.24456600105516191</v>
      </c>
    </row>
    <row r="20" spans="1:14" x14ac:dyDescent="0.25">
      <c r="A20">
        <v>19</v>
      </c>
      <c r="B20">
        <f>'REKAP A.R'!F20/'REKAP A.R'!G20</f>
        <v>6.804933884920987E-2</v>
      </c>
      <c r="C20" s="6">
        <f>'REKAP A.R'!N20/'REKAP A.R'!O20</f>
        <v>0.33333333333333331</v>
      </c>
      <c r="D20" s="2">
        <f>('REKAP A.R'!AJ20-'REKAP A.R'!AK21)/'REKAP A.R'!G20</f>
        <v>0.67142261042579388</v>
      </c>
      <c r="E20">
        <f>'REKAP A.R'!AH20</f>
        <v>1</v>
      </c>
      <c r="F20">
        <f>'REKAP A.R'!AI20</f>
        <v>1</v>
      </c>
      <c r="G20" s="3">
        <f>('REKAP A.R'!P20-'REKAP A.R'!R20)/('REKAP A.R'!Q20-'REKAP A.R'!S20)</f>
        <v>1.3666872872914728</v>
      </c>
      <c r="H20" s="7">
        <f>(('REKAP A.R'!S20-'REKAP A.R'!V20)/'REKAP A.R'!S20)/(('REKAP A.R'!R20-'REKAP A.R'!U20)/'REKAP A.R'!R20)</f>
        <v>0.98838575413241647</v>
      </c>
      <c r="I20" s="4">
        <f>((1-('REKAP A.R'!I20+'REKAP A.R'!X20))/'REKAP A.R'!G20)/((1-('REKAP A.R'!J20+'REKAP A.R'!Y20)/'REKAP A.R'!J20))</f>
        <v>0.66942156182395962</v>
      </c>
      <c r="J20">
        <f>'REKAP A.R'!R20/'REKAP A.R'!S20</f>
        <v>1.3777610615936799</v>
      </c>
      <c r="K20">
        <f>('REKAP A.R'!AA20/('REKAP A.R'!AA20+'REKAP A.R'!Y20))/('REKAP A.R'!Z20/('REKAP A.R'!Z20+'REKAP A.R'!X20))</f>
        <v>0.95009562266102487</v>
      </c>
      <c r="L20">
        <f>('REKAP A.R'!AB20/'REKAP A.R'!R20)/('REKAP A.R'!AC20/'REKAP A.R'!S20)</f>
        <v>0.83565491159687788</v>
      </c>
      <c r="M20" s="5">
        <f>(('REKAP A.R'!AD20+'REKAP A.R'!AF20)/'REKAP A.R'!G20)/(('REKAP A.R'!AE20+'REKAP A.R'!AG20)/'REKAP A.R'!H20)</f>
        <v>0.98124004738682524</v>
      </c>
      <c r="N20" s="2">
        <f>(('REKAP A.R'!AN20-'REKAP A.R'!AO20)-('REKAP A.R'!AP20-'REKAP A.R'!AQ20)-('REKAP A.R'!AL20-'REKAP A.R'!AM20)-('REKAP A.R'!Z20))/'REKAP A.R'!G20</f>
        <v>-0.16519543033520087</v>
      </c>
    </row>
    <row r="21" spans="1:14" x14ac:dyDescent="0.25">
      <c r="A21">
        <v>20</v>
      </c>
      <c r="B21">
        <f>'REKAP A.R'!F21/'REKAP A.R'!G21</f>
        <v>4.6779922246846309E-2</v>
      </c>
      <c r="C21" s="6">
        <f>'REKAP A.R'!N21/'REKAP A.R'!O21</f>
        <v>0.33333333333333331</v>
      </c>
      <c r="D21" s="2">
        <f>('REKAP A.R'!AJ21-'REKAP A.R'!AK22)/'REKAP A.R'!G21</f>
        <v>0.45923957014222105</v>
      </c>
      <c r="E21">
        <f>'REKAP A.R'!AH21</f>
        <v>1</v>
      </c>
      <c r="F21">
        <f>'REKAP A.R'!AI21</f>
        <v>1</v>
      </c>
      <c r="G21" s="3">
        <f>('REKAP A.R'!P21-'REKAP A.R'!R21)/('REKAP A.R'!Q21-'REKAP A.R'!S21)</f>
        <v>0.89857521879129543</v>
      </c>
      <c r="H21" s="7">
        <f>(('REKAP A.R'!S21-'REKAP A.R'!V21)/'REKAP A.R'!S21)/(('REKAP A.R'!R21-'REKAP A.R'!U21)/'REKAP A.R'!R21)</f>
        <v>0.94442685243995628</v>
      </c>
      <c r="I21" s="4">
        <f>((1-('REKAP A.R'!I21+'REKAP A.R'!X21))/'REKAP A.R'!G21)/((1-('REKAP A.R'!J21+'REKAP A.R'!Y21)/'REKAP A.R'!J21))</f>
        <v>0.56968663893383176</v>
      </c>
      <c r="J21">
        <f>'REKAP A.R'!R21/'REKAP A.R'!S21</f>
        <v>0.95990744211399415</v>
      </c>
      <c r="K21">
        <f>('REKAP A.R'!AA21/('REKAP A.R'!AA21+'REKAP A.R'!Y21))/('REKAP A.R'!Z21/('REKAP A.R'!Z21+'REKAP A.R'!X21))</f>
        <v>0.92220767788473945</v>
      </c>
      <c r="L21">
        <f>('REKAP A.R'!AB21/'REKAP A.R'!R21)/('REKAP A.R'!AC21/'REKAP A.R'!S21)</f>
        <v>1.1305891773050414</v>
      </c>
      <c r="M21" s="5">
        <f>(('REKAP A.R'!AD21+'REKAP A.R'!AF21)/'REKAP A.R'!G21)/(('REKAP A.R'!AE21+'REKAP A.R'!AG21)/'REKAP A.R'!H21)</f>
        <v>0.98944461243684501</v>
      </c>
      <c r="N21" s="2">
        <f>(('REKAP A.R'!AN21-'REKAP A.R'!AO21)-('REKAP A.R'!AP21-'REKAP A.R'!AQ21)-('REKAP A.R'!AL21-'REKAP A.R'!AM21)-('REKAP A.R'!Z21))/'REKAP A.R'!G21</f>
        <v>-3.2173298810104042E-2</v>
      </c>
    </row>
    <row r="22" spans="1:14" x14ac:dyDescent="0.25">
      <c r="A22">
        <v>21</v>
      </c>
      <c r="B22">
        <f>'REKAP A.R'!F22/'REKAP A.R'!G22</f>
        <v>3.8071409651890285E-2</v>
      </c>
      <c r="C22" s="6">
        <f>'REKAP A.R'!N22/'REKAP A.R'!O22</f>
        <v>0.33333333333333331</v>
      </c>
      <c r="D22" s="2">
        <f>('REKAP A.R'!AJ22-'REKAP A.R'!AK23)/'REKAP A.R'!G22</f>
        <v>-20946.806091089198</v>
      </c>
      <c r="E22">
        <f>'REKAP A.R'!AH22</f>
        <v>1</v>
      </c>
      <c r="F22">
        <f>'REKAP A.R'!AI22</f>
        <v>1</v>
      </c>
      <c r="G22" s="3">
        <f>('REKAP A.R'!P22-'REKAP A.R'!R22)/('REKAP A.R'!Q22-'REKAP A.R'!S22)</f>
        <v>1.0147567312205574</v>
      </c>
      <c r="H22" s="7">
        <f>(('REKAP A.R'!S22-'REKAP A.R'!V22)/'REKAP A.R'!S22)/(('REKAP A.R'!R22-'REKAP A.R'!U22)/'REKAP A.R'!R22)</f>
        <v>1.0888522085880694</v>
      </c>
      <c r="I22" s="4">
        <f>((1-('REKAP A.R'!I22+'REKAP A.R'!X22))/'REKAP A.R'!G22)/((1-('REKAP A.R'!J22+'REKAP A.R'!Y22)/'REKAP A.R'!J22))</f>
        <v>0.62941769422022542</v>
      </c>
      <c r="J22">
        <f>'REKAP A.R'!R22/'REKAP A.R'!S22</f>
        <v>0.99051572225712947</v>
      </c>
      <c r="K22">
        <f>('REKAP A.R'!AA22/('REKAP A.R'!AA22+'REKAP A.R'!Y22))/('REKAP A.R'!Z22/('REKAP A.R'!Z22+'REKAP A.R'!X22))</f>
        <v>0.93381016490182667</v>
      </c>
      <c r="L22">
        <f>('REKAP A.R'!AB22/'REKAP A.R'!R22)/('REKAP A.R'!AC22/'REKAP A.R'!S22)</f>
        <v>1.1616330759662583</v>
      </c>
      <c r="M22" s="5">
        <f>(('REKAP A.R'!AD22+'REKAP A.R'!AF22)/'REKAP A.R'!G22)/(('REKAP A.R'!AE22+'REKAP A.R'!AG22)/'REKAP A.R'!H22)</f>
        <v>0.97721534255894205</v>
      </c>
      <c r="N22" s="2">
        <f>(('REKAP A.R'!AN22-'REKAP A.R'!AO22)-('REKAP A.R'!AP22-'REKAP A.R'!AQ22)-('REKAP A.R'!AL22-'REKAP A.R'!AM22)-('REKAP A.R'!Z22))/'REKAP A.R'!G22</f>
        <v>-0.17766454339724527</v>
      </c>
    </row>
    <row r="23" spans="1:14" x14ac:dyDescent="0.25">
      <c r="A23">
        <v>22</v>
      </c>
      <c r="B23">
        <f>'REKAP A.R'!F23/'REKAP A.R'!G23</f>
        <v>7.5842932001248781E-2</v>
      </c>
      <c r="C23" s="6">
        <f>'REKAP A.R'!N23/'REKAP A.R'!O23</f>
        <v>0.4</v>
      </c>
      <c r="D23" s="2">
        <f>('REKAP A.R'!AJ23-'REKAP A.R'!AK24)/'REKAP A.R'!G23</f>
        <v>1.1206638856670508</v>
      </c>
      <c r="E23">
        <f>'REKAP A.R'!AH23</f>
        <v>1</v>
      </c>
      <c r="F23">
        <f>'REKAP A.R'!AI23</f>
        <v>1</v>
      </c>
      <c r="G23" s="3">
        <f>('REKAP A.R'!P23-'REKAP A.R'!R23)/('REKAP A.R'!Q23-'REKAP A.R'!S23)</f>
        <v>1.0626608113271967</v>
      </c>
      <c r="H23" s="7">
        <f>(('REKAP A.R'!S23-'REKAP A.R'!V23)/'REKAP A.R'!S23)/(('REKAP A.R'!R23-'REKAP A.R'!U23)/'REKAP A.R'!R23)</f>
        <v>1.0044398024769063</v>
      </c>
      <c r="I23" s="4">
        <f>((1-('REKAP A.R'!I23+'REKAP A.R'!X23))/'REKAP A.R'!G23)/((1-('REKAP A.R'!J23+'REKAP A.R'!Y23)/'REKAP A.R'!J23))</f>
        <v>1.4428722271716941</v>
      </c>
      <c r="J23">
        <f>'REKAP A.R'!R23/'REKAP A.R'!S23</f>
        <v>1.0710861081793304</v>
      </c>
      <c r="K23">
        <f>('REKAP A.R'!AA23/('REKAP A.R'!AA23+'REKAP A.R'!Y23))/('REKAP A.R'!Z23/('REKAP A.R'!Z23+'REKAP A.R'!X23))</f>
        <v>1</v>
      </c>
      <c r="L23">
        <f>('REKAP A.R'!AB23/'REKAP A.R'!R23)/('REKAP A.R'!AC23/'REKAP A.R'!S23)</f>
        <v>1.0423367717921805</v>
      </c>
      <c r="M23" s="5">
        <f>(('REKAP A.R'!AD23+'REKAP A.R'!AF23)/'REKAP A.R'!G23)/(('REKAP A.R'!AE23+'REKAP A.R'!AG23)/'REKAP A.R'!H23)</f>
        <v>1.1589003118576762</v>
      </c>
      <c r="N23" s="2">
        <f>(('REKAP A.R'!AN23-'REKAP A.R'!AO23)-('REKAP A.R'!AP23-'REKAP A.R'!AQ23)-('REKAP A.R'!AL23-'REKAP A.R'!AM23)-('REKAP A.R'!Z23))/'REKAP A.R'!G23</f>
        <v>-0.37953166219395457</v>
      </c>
    </row>
    <row r="24" spans="1:14" x14ac:dyDescent="0.25">
      <c r="A24">
        <v>23</v>
      </c>
      <c r="B24">
        <f>'REKAP A.R'!F24/'REKAP A.R'!G24</f>
        <v>7.077271412529007E-2</v>
      </c>
      <c r="C24" s="6">
        <f>'REKAP A.R'!N24/'REKAP A.R'!O24</f>
        <v>0.4</v>
      </c>
      <c r="D24" s="2">
        <f>('REKAP A.R'!AJ24-'REKAP A.R'!AK25)/'REKAP A.R'!G24</f>
        <v>1.1172085502641551</v>
      </c>
      <c r="E24">
        <f>'REKAP A.R'!AH24</f>
        <v>1</v>
      </c>
      <c r="F24">
        <f>'REKAP A.R'!AI24</f>
        <v>1</v>
      </c>
      <c r="G24" s="3">
        <f>('REKAP A.R'!P24-'REKAP A.R'!R24)/('REKAP A.R'!Q24-'REKAP A.R'!S24)</f>
        <v>0.97954351736534928</v>
      </c>
      <c r="H24" s="7">
        <f>(('REKAP A.R'!S24-'REKAP A.R'!V24)/'REKAP A.R'!S24)/(('REKAP A.R'!R24-'REKAP A.R'!U24)/'REKAP A.R'!R24)</f>
        <v>1.0938594045709129</v>
      </c>
      <c r="I24" s="4">
        <f>((1-('REKAP A.R'!I24+'REKAP A.R'!X24))/'REKAP A.R'!G24)/((1-('REKAP A.R'!J24+'REKAP A.R'!Y24)/'REKAP A.R'!J24))</f>
        <v>1.4442038486533189</v>
      </c>
      <c r="J24">
        <f>'REKAP A.R'!R24/'REKAP A.R'!S24</f>
        <v>0.9787021085942722</v>
      </c>
      <c r="K24">
        <f>('REKAP A.R'!AA24/('REKAP A.R'!AA24+'REKAP A.R'!Y24))/('REKAP A.R'!Z24/('REKAP A.R'!Z24+'REKAP A.R'!X24))</f>
        <v>1</v>
      </c>
      <c r="L24">
        <f>('REKAP A.R'!AB24/'REKAP A.R'!R24)/('REKAP A.R'!AC24/'REKAP A.R'!S24)</f>
        <v>1.1038265434125003</v>
      </c>
      <c r="M24" s="5">
        <f>(('REKAP A.R'!AD24+'REKAP A.R'!AF24)/'REKAP A.R'!G24)/(('REKAP A.R'!AE24+'REKAP A.R'!AG24)/'REKAP A.R'!H24)</f>
        <v>0.90682747996017421</v>
      </c>
      <c r="N24" s="2">
        <f>(('REKAP A.R'!AN24-'REKAP A.R'!AO24)-('REKAP A.R'!AP24-'REKAP A.R'!AQ24)-('REKAP A.R'!AL24-'REKAP A.R'!AM24)-('REKAP A.R'!Z24))/'REKAP A.R'!G24</f>
        <v>-0.31850631079742642</v>
      </c>
    </row>
    <row r="25" spans="1:14" x14ac:dyDescent="0.25">
      <c r="A25">
        <v>24</v>
      </c>
      <c r="B25">
        <f>'REKAP A.R'!F25/'REKAP A.R'!G25</f>
        <v>5.6894702254028894E-2</v>
      </c>
      <c r="C25" s="6">
        <f>'REKAP A.R'!N25/'REKAP A.R'!O25</f>
        <v>0.4</v>
      </c>
      <c r="D25" s="2">
        <f>('REKAP A.R'!AJ25-'REKAP A.R'!AK26)/'REKAP A.R'!G25</f>
        <v>0.93502058204488525</v>
      </c>
      <c r="E25">
        <f>'REKAP A.R'!AH25</f>
        <v>1</v>
      </c>
      <c r="F25">
        <f>'REKAP A.R'!AI25</f>
        <v>1</v>
      </c>
      <c r="G25" s="3">
        <f>('REKAP A.R'!P25-'REKAP A.R'!R25)/('REKAP A.R'!Q25-'REKAP A.R'!S25)</f>
        <v>1.0410069488841691</v>
      </c>
      <c r="H25" s="7">
        <f>(('REKAP A.R'!S25-'REKAP A.R'!V25)/'REKAP A.R'!S25)/(('REKAP A.R'!R25-'REKAP A.R'!U25)/'REKAP A.R'!R25)</f>
        <v>1.0253817812388817</v>
      </c>
      <c r="I25" s="4">
        <f>((1-('REKAP A.R'!I25+'REKAP A.R'!X25))/'REKAP A.R'!G25)/((1-('REKAP A.R'!J25+'REKAP A.R'!Y25)/'REKAP A.R'!J25))</f>
        <v>1.3951821843829808</v>
      </c>
      <c r="J25">
        <f>'REKAP A.R'!R25/'REKAP A.R'!S25</f>
        <v>1.0586680779792399</v>
      </c>
      <c r="K25">
        <f>('REKAP A.R'!AA25/('REKAP A.R'!AA25+'REKAP A.R'!Y25))/('REKAP A.R'!Z25/('REKAP A.R'!Z25+'REKAP A.R'!X25))</f>
        <v>1</v>
      </c>
      <c r="L25">
        <f>('REKAP A.R'!AB25/'REKAP A.R'!R25)/('REKAP A.R'!AC25/'REKAP A.R'!S25)</f>
        <v>0.94268934929087156</v>
      </c>
      <c r="M25" s="5">
        <f>(('REKAP A.R'!AD25+'REKAP A.R'!AF25)/'REKAP A.R'!G25)/(('REKAP A.R'!AE25+'REKAP A.R'!AG25)/'REKAP A.R'!H25)</f>
        <v>1.0788101645256964</v>
      </c>
      <c r="N25" s="2">
        <f>(('REKAP A.R'!AN25-'REKAP A.R'!AO25)-('REKAP A.R'!AP25-'REKAP A.R'!AQ25)-('REKAP A.R'!AL25-'REKAP A.R'!AM25)-('REKAP A.R'!Z25))/'REKAP A.R'!G25</f>
        <v>-0.36580664078414726</v>
      </c>
    </row>
    <row r="26" spans="1:14" x14ac:dyDescent="0.25">
      <c r="A26">
        <v>25</v>
      </c>
      <c r="B26">
        <f>'REKAP A.R'!F26/'REKAP A.R'!G26</f>
        <v>7.4962616690335743E-2</v>
      </c>
      <c r="C26" s="6">
        <f>'REKAP A.R'!N26/'REKAP A.R'!O26</f>
        <v>0.4</v>
      </c>
      <c r="D26" s="2">
        <f>('REKAP A.R'!AJ26-'REKAP A.R'!AK27)/'REKAP A.R'!G26</f>
        <v>1.1963115683485457</v>
      </c>
      <c r="E26">
        <f>'REKAP A.R'!AH26</f>
        <v>1</v>
      </c>
      <c r="F26">
        <f>'REKAP A.R'!AI26</f>
        <v>1</v>
      </c>
      <c r="G26" s="3">
        <f>('REKAP A.R'!P26-'REKAP A.R'!R26)/('REKAP A.R'!Q26-'REKAP A.R'!S26)</f>
        <v>1.0322552591237582</v>
      </c>
      <c r="H26" s="7">
        <f>(('REKAP A.R'!S26-'REKAP A.R'!V26)/'REKAP A.R'!S26)/(('REKAP A.R'!R26-'REKAP A.R'!U26)/'REKAP A.R'!R26)</f>
        <v>0.99701682167529104</v>
      </c>
      <c r="I26" s="4">
        <f>((1-('REKAP A.R'!I26+'REKAP A.R'!X26))/'REKAP A.R'!G26)/((1-('REKAP A.R'!J26+'REKAP A.R'!Y26)/'REKAP A.R'!J26))</f>
        <v>1.5021163103959203</v>
      </c>
      <c r="J26">
        <f>'REKAP A.R'!R26/'REKAP A.R'!S26</f>
        <v>1.0467511357105996</v>
      </c>
      <c r="K26">
        <f>('REKAP A.R'!AA26/('REKAP A.R'!AA26+'REKAP A.R'!Y26))/('REKAP A.R'!Z26/('REKAP A.R'!Z26+'REKAP A.R'!X26))</f>
        <v>0.7351016400216418</v>
      </c>
      <c r="L26">
        <f>('REKAP A.R'!AB26/'REKAP A.R'!R26)/('REKAP A.R'!AC26/'REKAP A.R'!S26)</f>
        <v>1.0396643345607357</v>
      </c>
      <c r="M26" s="5">
        <f>(('REKAP A.R'!AD26+'REKAP A.R'!AF26)/'REKAP A.R'!G26)/(('REKAP A.R'!AE26+'REKAP A.R'!AG26)/'REKAP A.R'!H26)</f>
        <v>1.0685190673240204</v>
      </c>
      <c r="N26" s="2">
        <f>(('REKAP A.R'!AN26-'REKAP A.R'!AO26)-('REKAP A.R'!AP26-'REKAP A.R'!AQ26)-('REKAP A.R'!AL26-'REKAP A.R'!AM26)-('REKAP A.R'!Z26))/'REKAP A.R'!G26</f>
        <v>-0.1405379035945119</v>
      </c>
    </row>
    <row r="27" spans="1:14" x14ac:dyDescent="0.25">
      <c r="A27">
        <v>26</v>
      </c>
      <c r="B27">
        <f>'REKAP A.R'!F27/'REKAP A.R'!G27</f>
        <v>7.562348143570187E-2</v>
      </c>
      <c r="C27" s="6">
        <f>'REKAP A.R'!N27/'REKAP A.R'!O27</f>
        <v>0.4</v>
      </c>
      <c r="D27" s="2">
        <f>('REKAP A.R'!AJ27-'REKAP A.R'!AK28)/'REKAP A.R'!G27</f>
        <v>1.1577725214258261</v>
      </c>
      <c r="E27">
        <f>'REKAP A.R'!AH27</f>
        <v>1</v>
      </c>
      <c r="F27">
        <f>'REKAP A.R'!AI27</f>
        <v>1</v>
      </c>
      <c r="G27" s="3">
        <f>('REKAP A.R'!P27-'REKAP A.R'!R27)/('REKAP A.R'!Q27-'REKAP A.R'!S27)</f>
        <v>1.0548011985429531</v>
      </c>
      <c r="H27" s="7">
        <f>(('REKAP A.R'!S27-'REKAP A.R'!V27)/'REKAP A.R'!S27)/(('REKAP A.R'!R27-'REKAP A.R'!U27)/'REKAP A.R'!R27)</f>
        <v>1.0042887532283697</v>
      </c>
      <c r="I27" s="4">
        <f>((1-('REKAP A.R'!I27+'REKAP A.R'!X27))/'REKAP A.R'!G27)/((1-('REKAP A.R'!J27+'REKAP A.R'!Y27)/'REKAP A.R'!J27))</f>
        <v>2.3935029065133975</v>
      </c>
      <c r="J27">
        <f>'REKAP A.R'!R27/'REKAP A.R'!S27</f>
        <v>1.0546399936679824</v>
      </c>
      <c r="K27">
        <f>('REKAP A.R'!AA27/('REKAP A.R'!AA27+'REKAP A.R'!Y27))/('REKAP A.R'!Z27/('REKAP A.R'!Z27+'REKAP A.R'!X27))</f>
        <v>1.0176958583641689</v>
      </c>
      <c r="L27">
        <f>('REKAP A.R'!AB27/'REKAP A.R'!R27)/('REKAP A.R'!AC27/'REKAP A.R'!S27)</f>
        <v>0.97674168731247779</v>
      </c>
      <c r="M27" s="5">
        <f>(('REKAP A.R'!AD27+'REKAP A.R'!AF27)/'REKAP A.R'!G27)/(('REKAP A.R'!AE27+'REKAP A.R'!AG27)/'REKAP A.R'!H27)</f>
        <v>0.97853863707401412</v>
      </c>
      <c r="N27" s="2">
        <f>(('REKAP A.R'!AN27-'REKAP A.R'!AO27)-('REKAP A.R'!AP27-'REKAP A.R'!AQ27)-('REKAP A.R'!AL27-'REKAP A.R'!AM27)-('REKAP A.R'!Z27))/'REKAP A.R'!G27</f>
        <v>-0.13531591087594719</v>
      </c>
    </row>
    <row r="28" spans="1:14" x14ac:dyDescent="0.25">
      <c r="A28">
        <v>27</v>
      </c>
      <c r="B28">
        <f>'REKAP A.R'!F28/'REKAP A.R'!G28</f>
        <v>6.4539951885197677E-2</v>
      </c>
      <c r="C28" s="6">
        <f>'REKAP A.R'!N28/'REKAP A.R'!O28</f>
        <v>0.4</v>
      </c>
      <c r="D28" s="2">
        <f>('REKAP A.R'!AJ28-'REKAP A.R'!AK29)/'REKAP A.R'!G28</f>
        <v>1.3145257289822978</v>
      </c>
      <c r="E28">
        <f>'REKAP A.R'!AH28</f>
        <v>1</v>
      </c>
      <c r="F28">
        <f>'REKAP A.R'!AI28</f>
        <v>1</v>
      </c>
      <c r="G28" s="3">
        <f>('REKAP A.R'!P28-'REKAP A.R'!R28)/('REKAP A.R'!Q28-'REKAP A.R'!S28)</f>
        <v>1.1020159411016717</v>
      </c>
      <c r="H28" s="7">
        <f>(('REKAP A.R'!S28-'REKAP A.R'!V28)/'REKAP A.R'!S28)/(('REKAP A.R'!R28-'REKAP A.R'!U28)/'REKAP A.R'!R28)</f>
        <v>0.98702229444469303</v>
      </c>
      <c r="I28" s="4">
        <f>((1-('REKAP A.R'!I28+'REKAP A.R'!X28))/'REKAP A.R'!G28)/((1-('REKAP A.R'!J28+'REKAP A.R'!Y28)/'REKAP A.R'!J28))</f>
        <v>2.1050768014279213</v>
      </c>
      <c r="J28">
        <f>'REKAP A.R'!R28/'REKAP A.R'!S28</f>
        <v>1.0897811814233924</v>
      </c>
      <c r="K28">
        <f>('REKAP A.R'!AA28/('REKAP A.R'!AA28+'REKAP A.R'!Y28))/('REKAP A.R'!Z28/('REKAP A.R'!Z28+'REKAP A.R'!X28))</f>
        <v>0.95353666484656752</v>
      </c>
      <c r="L28">
        <f>('REKAP A.R'!AB28/'REKAP A.R'!R28)/('REKAP A.R'!AC28/'REKAP A.R'!S28)</f>
        <v>0.93168810112475464</v>
      </c>
      <c r="M28" s="5">
        <f>(('REKAP A.R'!AD28+'REKAP A.R'!AF28)/'REKAP A.R'!G28)/(('REKAP A.R'!AE28+'REKAP A.R'!AG28)/'REKAP A.R'!H28)</f>
        <v>0.99572058594901491</v>
      </c>
      <c r="N28" s="2">
        <f>(('REKAP A.R'!AN28-'REKAP A.R'!AO28)-('REKAP A.R'!AP28-'REKAP A.R'!AQ28)-('REKAP A.R'!AL28-'REKAP A.R'!AM28)-('REKAP A.R'!Z28))/'REKAP A.R'!G28</f>
        <v>-0.15598045053977308</v>
      </c>
    </row>
    <row r="29" spans="1:14" x14ac:dyDescent="0.25">
      <c r="A29">
        <v>28</v>
      </c>
      <c r="B29">
        <f>'REKAP A.R'!F29/'REKAP A.R'!G29</f>
        <v>0.13720632974354821</v>
      </c>
      <c r="C29" s="6">
        <f>'REKAP A.R'!N29/'REKAP A.R'!O29</f>
        <v>0.5</v>
      </c>
      <c r="D29" s="2">
        <f>('REKAP A.R'!AJ29-'REKAP A.R'!AK30)/'REKAP A.R'!G29</f>
        <v>0.89027172089902717</v>
      </c>
      <c r="E29">
        <f>'REKAP A.R'!AH29</f>
        <v>0</v>
      </c>
      <c r="F29">
        <f>'REKAP A.R'!AI29</f>
        <v>1</v>
      </c>
      <c r="G29" s="3">
        <f>('REKAP A.R'!P29-'REKAP A.R'!R29)/('REKAP A.R'!Q29-'REKAP A.R'!S29)</f>
        <v>1.0382455835758837</v>
      </c>
      <c r="H29" s="7">
        <f>(('REKAP A.R'!S29-'REKAP A.R'!V29)/'REKAP A.R'!S29)/(('REKAP A.R'!R29-'REKAP A.R'!U29)/'REKAP A.R'!R29)</f>
        <v>0.9329017469847376</v>
      </c>
      <c r="I29" s="4">
        <f>((1-('REKAP A.R'!I29+'REKAP A.R'!X29))/'REKAP A.R'!G29)/((1-('REKAP A.R'!J29+'REKAP A.R'!Y29)/'REKAP A.R'!J29))</f>
        <v>2.5403965616869639</v>
      </c>
      <c r="J29">
        <f>'REKAP A.R'!R29/'REKAP A.R'!S29</f>
        <v>1.0413084711271134</v>
      </c>
      <c r="K29">
        <f>('REKAP A.R'!AA29/('REKAP A.R'!AA29+'REKAP A.R'!Y29))/('REKAP A.R'!Z29/('REKAP A.R'!Z29+'REKAP A.R'!X29))</f>
        <v>1.0687700314511124</v>
      </c>
      <c r="L29">
        <f>('REKAP A.R'!AB29/'REKAP A.R'!R29)/('REKAP A.R'!AC29/'REKAP A.R'!S29)</f>
        <v>1.2107786532600278</v>
      </c>
      <c r="M29" s="5">
        <f>(('REKAP A.R'!AD29+'REKAP A.R'!AF29)/'REKAP A.R'!G29)/(('REKAP A.R'!AE29+'REKAP A.R'!AG29)/'REKAP A.R'!H29)</f>
        <v>1.0659860639194836</v>
      </c>
      <c r="N29" s="2">
        <f>(('REKAP A.R'!AN29-'REKAP A.R'!AO29)-('REKAP A.R'!AP29-'REKAP A.R'!AQ29)-('REKAP A.R'!AL29-'REKAP A.R'!AM29)-('REKAP A.R'!Z29))/'REKAP A.R'!G29</f>
        <v>-0.33015168866422206</v>
      </c>
    </row>
    <row r="30" spans="1:14" x14ac:dyDescent="0.25">
      <c r="A30">
        <v>29</v>
      </c>
      <c r="B30">
        <f>'REKAP A.R'!F30/'REKAP A.R'!G30</f>
        <v>0.12628208970294666</v>
      </c>
      <c r="C30" s="6">
        <f>'REKAP A.R'!N30/'REKAP A.R'!O30</f>
        <v>0.5</v>
      </c>
      <c r="D30" s="2">
        <f>('REKAP A.R'!AJ30-'REKAP A.R'!AK31)/'REKAP A.R'!G30</f>
        <v>0.88099831691556552</v>
      </c>
      <c r="E30">
        <f>'REKAP A.R'!AH30</f>
        <v>0</v>
      </c>
      <c r="F30">
        <f>'REKAP A.R'!AI30</f>
        <v>1</v>
      </c>
      <c r="G30" s="3">
        <f>('REKAP A.R'!P30-'REKAP A.R'!R30)/('REKAP A.R'!Q30-'REKAP A.R'!S30)</f>
        <v>1.1314576526505027</v>
      </c>
      <c r="H30" s="7">
        <f>(('REKAP A.R'!S30-'REKAP A.R'!V30)/'REKAP A.R'!S30)/(('REKAP A.R'!R30-'REKAP A.R'!U30)/'REKAP A.R'!R30)</f>
        <v>1.0451123686685513</v>
      </c>
      <c r="I30" s="4">
        <f>((1-('REKAP A.R'!I30+'REKAP A.R'!X30))/'REKAP A.R'!G30)/((1-('REKAP A.R'!J30+'REKAP A.R'!Y30)/'REKAP A.R'!J30))</f>
        <v>1.9675065633801725</v>
      </c>
      <c r="J30">
        <f>'REKAP A.R'!R30/'REKAP A.R'!S30</f>
        <v>1.1215935702386219</v>
      </c>
      <c r="K30">
        <f>('REKAP A.R'!AA30/('REKAP A.R'!AA30+'REKAP A.R'!Y30))/('REKAP A.R'!Z30/('REKAP A.R'!Z30+'REKAP A.R'!X30))</f>
        <v>1.0039162137321569</v>
      </c>
      <c r="L30">
        <f>('REKAP A.R'!AB30/'REKAP A.R'!R30)/('REKAP A.R'!AC30/'REKAP A.R'!S30)</f>
        <v>1.0201751963139838</v>
      </c>
      <c r="M30" s="5">
        <f>(('REKAP A.R'!AD30+'REKAP A.R'!AF30)/'REKAP A.R'!G30)/(('REKAP A.R'!AE30+'REKAP A.R'!AG30)/'REKAP A.R'!H30)</f>
        <v>0.74531838970409925</v>
      </c>
      <c r="N30" s="2">
        <f>(('REKAP A.R'!AN30-'REKAP A.R'!AO30)-('REKAP A.R'!AP30-'REKAP A.R'!AQ30)-('REKAP A.R'!AL30-'REKAP A.R'!AM30)-('REKAP A.R'!Z30))/'REKAP A.R'!G30</f>
        <v>-0.24306467878753846</v>
      </c>
    </row>
    <row r="31" spans="1:14" x14ac:dyDescent="0.25">
      <c r="A31">
        <v>30</v>
      </c>
      <c r="B31">
        <f>'REKAP A.R'!F31/'REKAP A.R'!G31</f>
        <v>0.15674922091839777</v>
      </c>
      <c r="C31" s="6">
        <f>'REKAP A.R'!N31/'REKAP A.R'!O31</f>
        <v>0.5</v>
      </c>
      <c r="D31" s="2">
        <f>('REKAP A.R'!AJ31-'REKAP A.R'!AK32)/'REKAP A.R'!G31</f>
        <v>1.0128368012817583</v>
      </c>
      <c r="E31">
        <f>'REKAP A.R'!AH31</f>
        <v>0</v>
      </c>
      <c r="F31">
        <f>'REKAP A.R'!AI31</f>
        <v>1</v>
      </c>
      <c r="G31" s="3">
        <f>('REKAP A.R'!P31-'REKAP A.R'!R31)/('REKAP A.R'!Q31-'REKAP A.R'!S31)</f>
        <v>1.1378364717035712</v>
      </c>
      <c r="H31" s="7">
        <f>(('REKAP A.R'!S31-'REKAP A.R'!V31)/'REKAP A.R'!S31)/(('REKAP A.R'!R31-'REKAP A.R'!U31)/'REKAP A.R'!R31)</f>
        <v>0.94947085322836589</v>
      </c>
      <c r="I31" s="4">
        <f>((1-('REKAP A.R'!I31+'REKAP A.R'!X31))/'REKAP A.R'!G31)/((1-('REKAP A.R'!J31+'REKAP A.R'!Y31)/'REKAP A.R'!J31))</f>
        <v>1.5340205666066871</v>
      </c>
      <c r="J31">
        <f>'REKAP A.R'!R31/'REKAP A.R'!S31</f>
        <v>1.1404263786429161</v>
      </c>
      <c r="K31">
        <f>('REKAP A.R'!AA31/('REKAP A.R'!AA31+'REKAP A.R'!Y31))/('REKAP A.R'!Z31/('REKAP A.R'!Z31+'REKAP A.R'!X31))</f>
        <v>1.0029780260186514</v>
      </c>
      <c r="L31">
        <f>('REKAP A.R'!AB31/'REKAP A.R'!R31)/('REKAP A.R'!AC31/'REKAP A.R'!S31)</f>
        <v>0.90350942597319583</v>
      </c>
      <c r="M31" s="5">
        <f>(('REKAP A.R'!AD31+'REKAP A.R'!AF31)/'REKAP A.R'!G31)/(('REKAP A.R'!AE31+'REKAP A.R'!AG31)/'REKAP A.R'!H31)</f>
        <v>1.0262956034479589</v>
      </c>
      <c r="N31" s="2">
        <f>(('REKAP A.R'!AN31-'REKAP A.R'!AO31)-('REKAP A.R'!AP31-'REKAP A.R'!AQ31)-('REKAP A.R'!AL31-'REKAP A.R'!AM31)-('REKAP A.R'!Z31))/'REKAP A.R'!G31</f>
        <v>-0.23319666934103178</v>
      </c>
    </row>
    <row r="32" spans="1:14" x14ac:dyDescent="0.25">
      <c r="A32">
        <v>31</v>
      </c>
      <c r="B32">
        <f>'REKAP A.R'!F32/'REKAP A.R'!G32</f>
        <v>4.5513403377146419E-2</v>
      </c>
      <c r="C32" s="6">
        <f>'REKAP A.R'!N32/'REKAP A.R'!O32</f>
        <v>0.33333333333333331</v>
      </c>
      <c r="D32" s="2">
        <f>('REKAP A.R'!AJ32-'REKAP A.R'!AK33)/'REKAP A.R'!G32</f>
        <v>0.80888107626904826</v>
      </c>
      <c r="E32">
        <f>'REKAP A.R'!AH32</f>
        <v>0</v>
      </c>
      <c r="F32">
        <f>'REKAP A.R'!AI32</f>
        <v>1</v>
      </c>
      <c r="G32" s="3">
        <f>('REKAP A.R'!P32-'REKAP A.R'!R32)/('REKAP A.R'!Q32-'REKAP A.R'!S32)</f>
        <v>0.91609528820647601</v>
      </c>
      <c r="H32" s="7">
        <f>(('REKAP A.R'!S32-'REKAP A.R'!V32)/'REKAP A.R'!S32)/(('REKAP A.R'!R32-'REKAP A.R'!U32)/'REKAP A.R'!R32)</f>
        <v>0.96123714758596768</v>
      </c>
      <c r="I32" s="4">
        <f>((1-('REKAP A.R'!I32+'REKAP A.R'!X32))/'REKAP A.R'!G32)/((1-('REKAP A.R'!J32+'REKAP A.R'!Y32)/'REKAP A.R'!J32))</f>
        <v>0.78524443410865175</v>
      </c>
      <c r="J32">
        <f>'REKAP A.R'!R32/'REKAP A.R'!S32</f>
        <v>0.91756668916018802</v>
      </c>
      <c r="K32">
        <f>('REKAP A.R'!AA32/('REKAP A.R'!AA32+'REKAP A.R'!Y32))/('REKAP A.R'!Z32/('REKAP A.R'!Z32+'REKAP A.R'!X32))</f>
        <v>1.0756514634038687</v>
      </c>
      <c r="L32">
        <f>('REKAP A.R'!AB32/'REKAP A.R'!R32)/('REKAP A.R'!AC32/'REKAP A.R'!S32)</f>
        <v>1.0569811185733569</v>
      </c>
      <c r="M32" s="5">
        <f>(('REKAP A.R'!AD32+'REKAP A.R'!AF32)/'REKAP A.R'!G32)/(('REKAP A.R'!AE32+'REKAP A.R'!AG32)/'REKAP A.R'!H32)</f>
        <v>0.99479499176891673</v>
      </c>
      <c r="N32" s="2">
        <f>(('REKAP A.R'!AN32-'REKAP A.R'!AO32)-('REKAP A.R'!AP32-'REKAP A.R'!AQ32)-('REKAP A.R'!AL32-'REKAP A.R'!AM32)-('REKAP A.R'!Z32))/'REKAP A.R'!G32</f>
        <v>-0.42229445060673432</v>
      </c>
    </row>
    <row r="33" spans="1:14" x14ac:dyDescent="0.25">
      <c r="A33">
        <v>32</v>
      </c>
      <c r="B33">
        <f>'REKAP A.R'!F33/'REKAP A.R'!G33</f>
        <v>6.0092479645967492E-2</v>
      </c>
      <c r="C33" s="6">
        <f>'REKAP A.R'!N33/'REKAP A.R'!O33</f>
        <v>0.33333333333333331</v>
      </c>
      <c r="D33" s="2">
        <f>('REKAP A.R'!AJ33-'REKAP A.R'!AK34)/'REKAP A.R'!G33</f>
        <v>0.71335962100365946</v>
      </c>
      <c r="E33">
        <f>'REKAP A.R'!AH33</f>
        <v>0</v>
      </c>
      <c r="F33">
        <f>'REKAP A.R'!AI33</f>
        <v>1</v>
      </c>
      <c r="G33" s="3">
        <f>('REKAP A.R'!P33-'REKAP A.R'!R33)/('REKAP A.R'!Q33-'REKAP A.R'!S33)</f>
        <v>0.99722789720453597</v>
      </c>
      <c r="H33" s="7">
        <f>(('REKAP A.R'!S33-'REKAP A.R'!V33)/'REKAP A.R'!S33)/(('REKAP A.R'!R33-'REKAP A.R'!U33)/'REKAP A.R'!R33)</f>
        <v>1.1140185944974828</v>
      </c>
      <c r="I33" s="4">
        <f>((1-('REKAP A.R'!I33+'REKAP A.R'!X33))/'REKAP A.R'!G33)/((1-('REKAP A.R'!J33+'REKAP A.R'!Y33)/'REKAP A.R'!J33))</f>
        <v>0.56653746498180801</v>
      </c>
      <c r="J33">
        <f>'REKAP A.R'!R33/'REKAP A.R'!S33</f>
        <v>0.98749155913516429</v>
      </c>
      <c r="K33">
        <f>('REKAP A.R'!AA33/('REKAP A.R'!AA33+'REKAP A.R'!Y33))/('REKAP A.R'!Z33/('REKAP A.R'!Z33+'REKAP A.R'!X33))</f>
        <v>0.89191782584632795</v>
      </c>
      <c r="L33">
        <f>('REKAP A.R'!AB33/'REKAP A.R'!R33)/('REKAP A.R'!AC33/'REKAP A.R'!S33)</f>
        <v>0.96425448897326094</v>
      </c>
      <c r="M33" s="5">
        <f>(('REKAP A.R'!AD33+'REKAP A.R'!AF33)/'REKAP A.R'!G33)/(('REKAP A.R'!AE33+'REKAP A.R'!AG33)/'REKAP A.R'!H33)</f>
        <v>0.91260987241766545</v>
      </c>
      <c r="N33" s="2">
        <f>(('REKAP A.R'!AN33-'REKAP A.R'!AO33)-('REKAP A.R'!AP33-'REKAP A.R'!AQ33)-('REKAP A.R'!AL33-'REKAP A.R'!AM33)-('REKAP A.R'!Z33))/'REKAP A.R'!G33</f>
        <v>-0.39989787523758191</v>
      </c>
    </row>
    <row r="34" spans="1:14" x14ac:dyDescent="0.25">
      <c r="A34">
        <v>33</v>
      </c>
      <c r="B34">
        <f>'REKAP A.R'!F34/'REKAP A.R'!G34</f>
        <v>0.10200820793433653</v>
      </c>
      <c r="C34" s="6">
        <f>'REKAP A.R'!N34/'REKAP A.R'!O34</f>
        <v>0.33333333333333331</v>
      </c>
      <c r="D34" s="2">
        <f>('REKAP A.R'!AJ34-'REKAP A.R'!AK35)/'REKAP A.R'!G34</f>
        <v>-253959.78261255511</v>
      </c>
      <c r="E34">
        <f>'REKAP A.R'!AH34</f>
        <v>0</v>
      </c>
      <c r="F34">
        <f>'REKAP A.R'!AI34</f>
        <v>1</v>
      </c>
      <c r="G34" s="3">
        <f>('REKAP A.R'!P34-'REKAP A.R'!R34)/('REKAP A.R'!Q34-'REKAP A.R'!S34)</f>
        <v>1.0410092660290367</v>
      </c>
      <c r="H34" s="7">
        <f>(('REKAP A.R'!S34-'REKAP A.R'!V34)/'REKAP A.R'!S34)/(('REKAP A.R'!R34-'REKAP A.R'!U34)/'REKAP A.R'!R34)</f>
        <v>0.96779126087030443</v>
      </c>
      <c r="I34" s="4">
        <f>((1-('REKAP A.R'!I34+'REKAP A.R'!X34))/'REKAP A.R'!G34)/((1-('REKAP A.R'!J34+'REKAP A.R'!Y34)/'REKAP A.R'!J34))</f>
        <v>0.74902121594730797</v>
      </c>
      <c r="J34">
        <f>'REKAP A.R'!R34/'REKAP A.R'!S34</f>
        <v>1.0373342351504784</v>
      </c>
      <c r="K34">
        <f>('REKAP A.R'!AA34/('REKAP A.R'!AA34+'REKAP A.R'!Y34))/('REKAP A.R'!Z34/('REKAP A.R'!Z34+'REKAP A.R'!X34))</f>
        <v>0.91839059849899463</v>
      </c>
      <c r="L34">
        <f>('REKAP A.R'!AB34/'REKAP A.R'!R34)/('REKAP A.R'!AC34/'REKAP A.R'!S34)</f>
        <v>0.96483249195224063</v>
      </c>
      <c r="M34" s="5">
        <f>(('REKAP A.R'!AD34+'REKAP A.R'!AF34)/'REKAP A.R'!G34)/(('REKAP A.R'!AE34+'REKAP A.R'!AG34)/'REKAP A.R'!H34)</f>
        <v>0.68274396955307259</v>
      </c>
      <c r="N34" s="2">
        <f>(('REKAP A.R'!AN34-'REKAP A.R'!AO34)-('REKAP A.R'!AP34-'REKAP A.R'!AQ34)-('REKAP A.R'!AL34-'REKAP A.R'!AM34)-('REKAP A.R'!Z34))/'REKAP A.R'!G34</f>
        <v>-0.36354339565283478</v>
      </c>
    </row>
    <row r="35" spans="1:14" x14ac:dyDescent="0.25">
      <c r="A35">
        <v>34</v>
      </c>
      <c r="B35">
        <f>'REKAP A.R'!F35/'REKAP A.R'!G35</f>
        <v>7.7134911457448121E-2</v>
      </c>
      <c r="C35" s="6">
        <f>'REKAP A.R'!N35/'REKAP A.R'!O35</f>
        <v>0.33333333333333331</v>
      </c>
      <c r="D35" s="2">
        <f>('REKAP A.R'!AJ35-'REKAP A.R'!AK36)/'REKAP A.R'!G35</f>
        <v>2.8466912192539229</v>
      </c>
      <c r="E35">
        <f>'REKAP A.R'!AH35</f>
        <v>1</v>
      </c>
      <c r="F35">
        <f>'REKAP A.R'!AI35</f>
        <v>1</v>
      </c>
      <c r="G35" s="3">
        <f>('REKAP A.R'!P35-'REKAP A.R'!R35)/('REKAP A.R'!Q35-'REKAP A.R'!S35)</f>
        <v>1.0351276755221126</v>
      </c>
      <c r="H35" s="7">
        <f>(('REKAP A.R'!S35-'REKAP A.R'!V35)/'REKAP A.R'!S35)/(('REKAP A.R'!R35-'REKAP A.R'!U35)/'REKAP A.R'!R35)</f>
        <v>1.5828293958028503</v>
      </c>
      <c r="I35" s="4">
        <f>((1-('REKAP A.R'!I35+'REKAP A.R'!X35))/'REKAP A.R'!G35)/((1-('REKAP A.R'!J35+'REKAP A.R'!Y35)/'REKAP A.R'!J35))</f>
        <v>4.4069678720792016</v>
      </c>
      <c r="J35">
        <f>'REKAP A.R'!R35/'REKAP A.R'!S35</f>
        <v>1.0345511560778018</v>
      </c>
      <c r="K35">
        <f>('REKAP A.R'!AA35/('REKAP A.R'!AA35+'REKAP A.R'!Y35))/('REKAP A.R'!Z35/('REKAP A.R'!Z35+'REKAP A.R'!X35))</f>
        <v>0.94554015067773267</v>
      </c>
      <c r="L35">
        <f>('REKAP A.R'!AB35/'REKAP A.R'!R35)/('REKAP A.R'!AC35/'REKAP A.R'!S35)</f>
        <v>1.1636127609738087</v>
      </c>
      <c r="M35" s="5">
        <f>(('REKAP A.R'!AD35+'REKAP A.R'!AF35)/'REKAP A.R'!G35)/(('REKAP A.R'!AE35+'REKAP A.R'!AG35)/'REKAP A.R'!H35)</f>
        <v>0.93172461420185682</v>
      </c>
      <c r="N35" s="2">
        <f>(('REKAP A.R'!AN35-'REKAP A.R'!AO35)-('REKAP A.R'!AP35-'REKAP A.R'!AQ35)-('REKAP A.R'!AL35-'REKAP A.R'!AM35)-('REKAP A.R'!Z35))/'REKAP A.R'!G35</f>
        <v>-0.16508564276326815</v>
      </c>
    </row>
    <row r="36" spans="1:14" x14ac:dyDescent="0.25">
      <c r="A36">
        <v>35</v>
      </c>
      <c r="B36">
        <f>'REKAP A.R'!F36/'REKAP A.R'!G36</f>
        <v>7.9258460874650688E-2</v>
      </c>
      <c r="C36" s="6">
        <f>'REKAP A.R'!N36/'REKAP A.R'!O36</f>
        <v>0.33333333333333331</v>
      </c>
      <c r="D36" s="2">
        <f>('REKAP A.R'!AJ36-'REKAP A.R'!AK37)/'REKAP A.R'!G36</f>
        <v>2.722243551860692</v>
      </c>
      <c r="E36">
        <f>'REKAP A.R'!AH36</f>
        <v>1</v>
      </c>
      <c r="F36">
        <f>'REKAP A.R'!AI36</f>
        <v>1</v>
      </c>
      <c r="G36" s="3">
        <f>('REKAP A.R'!P36-'REKAP A.R'!R36)/('REKAP A.R'!Q36-'REKAP A.R'!S36)</f>
        <v>0.84161361217142316</v>
      </c>
      <c r="H36" s="7">
        <f>(('REKAP A.R'!S36-'REKAP A.R'!V36)/'REKAP A.R'!S36)/(('REKAP A.R'!R36-'REKAP A.R'!U36)/'REKAP A.R'!R36)</f>
        <v>0.88325541908310001</v>
      </c>
      <c r="I36" s="4">
        <f>((1-('REKAP A.R'!I36+'REKAP A.R'!X36))/'REKAP A.R'!G36)/((1-('REKAP A.R'!J36+'REKAP A.R'!Y36)/'REKAP A.R'!J36))</f>
        <v>4.019450467223411</v>
      </c>
      <c r="J36">
        <f>'REKAP A.R'!R36/'REKAP A.R'!S36</f>
        <v>0.85240735069373497</v>
      </c>
      <c r="K36">
        <f>('REKAP A.R'!AA36/('REKAP A.R'!AA36+'REKAP A.R'!Y36))/('REKAP A.R'!Z36/('REKAP A.R'!Z36+'REKAP A.R'!X36))</f>
        <v>0.92848594558345177</v>
      </c>
      <c r="L36">
        <f>('REKAP A.R'!AB36/'REKAP A.R'!R36)/('REKAP A.R'!AC36/'REKAP A.R'!S36)</f>
        <v>1.4329157579065068</v>
      </c>
      <c r="M36" s="5">
        <f>(('REKAP A.R'!AD36+'REKAP A.R'!AF36)/'REKAP A.R'!G36)/(('REKAP A.R'!AE36+'REKAP A.R'!AG36)/'REKAP A.R'!H36)</f>
        <v>0.46795429787867721</v>
      </c>
      <c r="N36" s="2">
        <f>(('REKAP A.R'!AN36-'REKAP A.R'!AO36)-('REKAP A.R'!AP36-'REKAP A.R'!AQ36)-('REKAP A.R'!AL36-'REKAP A.R'!AM36)-('REKAP A.R'!Z36))/'REKAP A.R'!G36</f>
        <v>-0.10611578555670124</v>
      </c>
    </row>
    <row r="37" spans="1:14" x14ac:dyDescent="0.25">
      <c r="A37">
        <v>36</v>
      </c>
      <c r="B37">
        <f>'REKAP A.R'!F37/'REKAP A.R'!G37</f>
        <v>0.15466396119867423</v>
      </c>
      <c r="C37" s="6">
        <f>'REKAP A.R'!N37/'REKAP A.R'!O37</f>
        <v>0.33333333333333331</v>
      </c>
      <c r="D37" s="2">
        <f>('REKAP A.R'!AJ37-'REKAP A.R'!AK38)/'REKAP A.R'!G37</f>
        <v>2.1851775932944517</v>
      </c>
      <c r="E37">
        <f>'REKAP A.R'!AH37</f>
        <v>1</v>
      </c>
      <c r="F37">
        <f>'REKAP A.R'!AI37</f>
        <v>1</v>
      </c>
      <c r="G37" s="3">
        <f>('REKAP A.R'!P37-'REKAP A.R'!R37)/('REKAP A.R'!Q37-'REKAP A.R'!S37)</f>
        <v>0.82724067178944072</v>
      </c>
      <c r="H37" s="7">
        <f>(('REKAP A.R'!S37-'REKAP A.R'!V37)/'REKAP A.R'!S37)/(('REKAP A.R'!R37-'REKAP A.R'!U37)/'REKAP A.R'!R37)</f>
        <v>0.64571631717569289</v>
      </c>
      <c r="I37" s="4">
        <f>((1-('REKAP A.R'!I37+'REKAP A.R'!X37))/'REKAP A.R'!G37)/((1-('REKAP A.R'!J37+'REKAP A.R'!Y37)/'REKAP A.R'!J37))</f>
        <v>3.6674209097001591</v>
      </c>
      <c r="J37">
        <f>'REKAP A.R'!R37/'REKAP A.R'!S37</f>
        <v>0.85992157696284888</v>
      </c>
      <c r="K37">
        <f>('REKAP A.R'!AA37/('REKAP A.R'!AA37+'REKAP A.R'!Y37))/('REKAP A.R'!Z37/('REKAP A.R'!Z37+'REKAP A.R'!X37))</f>
        <v>0.95481741726085267</v>
      </c>
      <c r="L37">
        <f>('REKAP A.R'!AB37/'REKAP A.R'!R37)/('REKAP A.R'!AC37/'REKAP A.R'!S37)</f>
        <v>0.82532401362303476</v>
      </c>
      <c r="M37" s="5">
        <f>(('REKAP A.R'!AD37+'REKAP A.R'!AF37)/'REKAP A.R'!G37)/(('REKAP A.R'!AE37+'REKAP A.R'!AG37)/'REKAP A.R'!H37)</f>
        <v>1.142268924203343</v>
      </c>
      <c r="N37" s="2">
        <f>(('REKAP A.R'!AN37-'REKAP A.R'!AO37)-('REKAP A.R'!AP37-'REKAP A.R'!AQ37)-('REKAP A.R'!AL37-'REKAP A.R'!AM37)-('REKAP A.R'!Z37))/'REKAP A.R'!G37</f>
        <v>-0.31055264941003569</v>
      </c>
    </row>
    <row r="38" spans="1:14" x14ac:dyDescent="0.25">
      <c r="A38">
        <v>37</v>
      </c>
      <c r="B38">
        <f>'REKAP A.R'!F38/'REKAP A.R'!G38</f>
        <v>0.20865431973300763</v>
      </c>
      <c r="C38" s="6">
        <f>'REKAP A.R'!N38/'REKAP A.R'!O38</f>
        <v>0.5</v>
      </c>
      <c r="D38" s="2">
        <f>('REKAP A.R'!AJ38-'REKAP A.R'!AK39)/'REKAP A.R'!G38</f>
        <v>0.94344729301649322</v>
      </c>
      <c r="E38">
        <f>'REKAP A.R'!AH38</f>
        <v>0</v>
      </c>
      <c r="F38">
        <f>'REKAP A.R'!AI38</f>
        <v>1</v>
      </c>
      <c r="G38" s="3">
        <f>('REKAP A.R'!P38-'REKAP A.R'!R38)/('REKAP A.R'!Q38-'REKAP A.R'!S38)</f>
        <v>1.0075296604597375</v>
      </c>
      <c r="H38" s="7">
        <f>(('REKAP A.R'!S38-'REKAP A.R'!V38)/'REKAP A.R'!S38)/(('REKAP A.R'!R38-'REKAP A.R'!U38)/'REKAP A.R'!R38)</f>
        <v>0.94470182602360075</v>
      </c>
      <c r="I38" s="4">
        <f>((1-('REKAP A.R'!I38+'REKAP A.R'!X38))/'REKAP A.R'!G38)/((1-('REKAP A.R'!J38+'REKAP A.R'!Y38)/'REKAP A.R'!J38))</f>
        <v>10.527228396418757</v>
      </c>
      <c r="J38">
        <f>'REKAP A.R'!R38/'REKAP A.R'!S38</f>
        <v>1.0030195558923194</v>
      </c>
      <c r="K38">
        <f>('REKAP A.R'!AA38/('REKAP A.R'!AA38+'REKAP A.R'!Y38))/('REKAP A.R'!Z38/('REKAP A.R'!Z38+'REKAP A.R'!X38))</f>
        <v>0.97927205445422016</v>
      </c>
      <c r="L38">
        <f>('REKAP A.R'!AB38/'REKAP A.R'!R38)/('REKAP A.R'!AC38/'REKAP A.R'!S38)</f>
        <v>1</v>
      </c>
      <c r="M38" s="5">
        <f>(('REKAP A.R'!AD38+'REKAP A.R'!AF38)/'REKAP A.R'!G38)/(('REKAP A.R'!AE38+'REKAP A.R'!AG38)/'REKAP A.R'!H38)</f>
        <v>0.94522600666761947</v>
      </c>
      <c r="N38" s="2">
        <f>(('REKAP A.R'!AN38-'REKAP A.R'!AO38)-('REKAP A.R'!AP38-'REKAP A.R'!AQ38)-('REKAP A.R'!AL38-'REKAP A.R'!AM38)-('REKAP A.R'!Z38))/'REKAP A.R'!G38</f>
        <v>-0.30196290017644239</v>
      </c>
    </row>
    <row r="39" spans="1:14" x14ac:dyDescent="0.25">
      <c r="A39">
        <v>38</v>
      </c>
      <c r="B39">
        <f>'REKAP A.R'!F39/'REKAP A.R'!G39</f>
        <v>0.22194038351402368</v>
      </c>
      <c r="C39" s="6">
        <f>'REKAP A.R'!N39/'REKAP A.R'!O39</f>
        <v>0.5</v>
      </c>
      <c r="D39" s="2">
        <f>('REKAP A.R'!AJ39-'REKAP A.R'!AK40)/'REKAP A.R'!G39</f>
        <v>0.93574138977376931</v>
      </c>
      <c r="E39">
        <f>'REKAP A.R'!AH39</f>
        <v>0</v>
      </c>
      <c r="F39">
        <f>'REKAP A.R'!AI39</f>
        <v>1</v>
      </c>
      <c r="G39" s="3">
        <f>('REKAP A.R'!P39-'REKAP A.R'!R39)/('REKAP A.R'!Q39-'REKAP A.R'!S39)</f>
        <v>1.1661742853667236</v>
      </c>
      <c r="H39" s="7">
        <f>(('REKAP A.R'!S39-'REKAP A.R'!V39)/'REKAP A.R'!S39)/(('REKAP A.R'!R39-'REKAP A.R'!U39)/'REKAP A.R'!R39)</f>
        <v>1.0129946451212997</v>
      </c>
      <c r="I39" s="4">
        <f>((1-('REKAP A.R'!I39+'REKAP A.R'!X39))/'REKAP A.R'!G39)/((1-('REKAP A.R'!J39+'REKAP A.R'!Y39)/'REKAP A.R'!J39))</f>
        <v>12.977394995549988</v>
      </c>
      <c r="J39">
        <f>'REKAP A.R'!R39/'REKAP A.R'!S39</f>
        <v>1.1488444389856067</v>
      </c>
      <c r="K39">
        <f>('REKAP A.R'!AA39/('REKAP A.R'!AA39+'REKAP A.R'!Y39))/('REKAP A.R'!Z39/('REKAP A.R'!Z39+'REKAP A.R'!X39))</f>
        <v>0.99233525533854894</v>
      </c>
      <c r="L39">
        <f>('REKAP A.R'!AB39/'REKAP A.R'!R39)/('REKAP A.R'!AC39/'REKAP A.R'!S39)</f>
        <v>0.19674236918920004</v>
      </c>
      <c r="M39" s="5">
        <f>(('REKAP A.R'!AD39+'REKAP A.R'!AF39)/'REKAP A.R'!G39)/(('REKAP A.R'!AE39+'REKAP A.R'!AG39)/'REKAP A.R'!H39)</f>
        <v>1.0736848748261847</v>
      </c>
      <c r="N39" s="2">
        <f>(('REKAP A.R'!AN39-'REKAP A.R'!AO39)-('REKAP A.R'!AP39-'REKAP A.R'!AQ39)-('REKAP A.R'!AL39-'REKAP A.R'!AM39)-('REKAP A.R'!Z39))/'REKAP A.R'!G39</f>
        <v>-0.15683109695442421</v>
      </c>
    </row>
    <row r="40" spans="1:14" x14ac:dyDescent="0.25">
      <c r="A40">
        <v>39</v>
      </c>
      <c r="B40">
        <f>'REKAP A.R'!F40/'REKAP A.R'!G40</f>
        <v>0.2228743372710113</v>
      </c>
      <c r="C40" s="6">
        <f>'REKAP A.R'!N40/'REKAP A.R'!O40</f>
        <v>0.5</v>
      </c>
      <c r="D40" s="2">
        <f>('REKAP A.R'!AJ40-'REKAP A.R'!AK41)/'REKAP A.R'!G40</f>
        <v>0.99078198944545881</v>
      </c>
      <c r="E40">
        <f>'REKAP A.R'!AH40</f>
        <v>0</v>
      </c>
      <c r="F40">
        <f>'REKAP A.R'!AI40</f>
        <v>1</v>
      </c>
      <c r="G40" s="3">
        <f>('REKAP A.R'!P40-'REKAP A.R'!R40)/('REKAP A.R'!Q40-'REKAP A.R'!S40)</f>
        <v>0.99170755020380164</v>
      </c>
      <c r="H40" s="7">
        <f>(('REKAP A.R'!S40-'REKAP A.R'!V40)/'REKAP A.R'!S40)/(('REKAP A.R'!R40-'REKAP A.R'!U40)/'REKAP A.R'!R40)</f>
        <v>1.0109759977825532</v>
      </c>
      <c r="I40" s="4">
        <f>((1-('REKAP A.R'!I40+'REKAP A.R'!X40))/'REKAP A.R'!G40)/((1-('REKAP A.R'!J40+'REKAP A.R'!Y40)/'REKAP A.R'!J40))</f>
        <v>14.831655944174463</v>
      </c>
      <c r="J40">
        <f>'REKAP A.R'!R40/'REKAP A.R'!S40</f>
        <v>0.92623834869707256</v>
      </c>
      <c r="K40">
        <f>('REKAP A.R'!AA40/('REKAP A.R'!AA40+'REKAP A.R'!Y40))/('REKAP A.R'!Z40/('REKAP A.R'!Z40+'REKAP A.R'!X40))</f>
        <v>0.98501478040692647</v>
      </c>
      <c r="L40">
        <f>('REKAP A.R'!AB40/'REKAP A.R'!R40)/('REKAP A.R'!AC40/'REKAP A.R'!S40)</f>
        <v>1.0230633945948169</v>
      </c>
      <c r="M40" s="5">
        <f>(('REKAP A.R'!AD40+'REKAP A.R'!AF40)/'REKAP A.R'!G40)/(('REKAP A.R'!AE40+'REKAP A.R'!AG40)/'REKAP A.R'!H40)</f>
        <v>0.94817710792677512</v>
      </c>
      <c r="N40" s="2">
        <f>(('REKAP A.R'!AN40-'REKAP A.R'!AO40)-('REKAP A.R'!AP40-'REKAP A.R'!AQ40)-('REKAP A.R'!AL40-'REKAP A.R'!AM40)-('REKAP A.R'!Z40))/'REKAP A.R'!G40</f>
        <v>-0.26572509780725251</v>
      </c>
    </row>
    <row r="41" spans="1:14" x14ac:dyDescent="0.25">
      <c r="A41">
        <v>40</v>
      </c>
      <c r="B41">
        <f>'REKAP A.R'!F41/'REKAP A.R'!G41</f>
        <v>9.8879068055170799E-2</v>
      </c>
      <c r="C41" s="6">
        <f>'REKAP A.R'!N41/'REKAP A.R'!O41</f>
        <v>0.5</v>
      </c>
      <c r="D41" s="2">
        <f>('REKAP A.R'!AJ41-'REKAP A.R'!AK42)/'REKAP A.R'!G41</f>
        <v>0.9453123002079924</v>
      </c>
      <c r="E41">
        <f>'REKAP A.R'!AH41</f>
        <v>0</v>
      </c>
      <c r="F41">
        <f>'REKAP A.R'!AI41</f>
        <v>1</v>
      </c>
      <c r="G41" s="3">
        <f>('REKAP A.R'!P41-'REKAP A.R'!R41)/('REKAP A.R'!Q41-'REKAP A.R'!S41)</f>
        <v>1.1082700935766525</v>
      </c>
      <c r="H41" s="7">
        <f>(('REKAP A.R'!S41-'REKAP A.R'!V41)/'REKAP A.R'!S41)/(('REKAP A.R'!R41-'REKAP A.R'!U41)/'REKAP A.R'!R41)</f>
        <v>0.97328113297612917</v>
      </c>
      <c r="I41" s="4">
        <f>((1-('REKAP A.R'!I41+'REKAP A.R'!X41))/'REKAP A.R'!G41)/((1-('REKAP A.R'!J41+'REKAP A.R'!Y41)/'REKAP A.R'!J41))</f>
        <v>2.5305511183606044</v>
      </c>
      <c r="J41">
        <f>'REKAP A.R'!R41/'REKAP A.R'!S41</f>
        <v>1.0856375484488072</v>
      </c>
      <c r="K41">
        <f>('REKAP A.R'!AA41/('REKAP A.R'!AA41+'REKAP A.R'!Y41))/('REKAP A.R'!Z41/('REKAP A.R'!Z41+'REKAP A.R'!X41))</f>
        <v>1</v>
      </c>
      <c r="L41">
        <f>('REKAP A.R'!AB41/'REKAP A.R'!R41)/('REKAP A.R'!AC41/'REKAP A.R'!S41)</f>
        <v>1.035868095726233</v>
      </c>
      <c r="M41" s="5">
        <f>(('REKAP A.R'!AD41+'REKAP A.R'!AF41)/'REKAP A.R'!G41)/(('REKAP A.R'!AE41+'REKAP A.R'!AG41)/'REKAP A.R'!H41)</f>
        <v>0.59992950106514475</v>
      </c>
      <c r="N41" s="2">
        <f>(('REKAP A.R'!AN41-'REKAP A.R'!AO41)-('REKAP A.R'!AP41-'REKAP A.R'!AQ41)-('REKAP A.R'!AL41-'REKAP A.R'!AM41)-('REKAP A.R'!Z41))/'REKAP A.R'!G41</f>
        <v>-0.26510007278402603</v>
      </c>
    </row>
    <row r="42" spans="1:14" x14ac:dyDescent="0.25">
      <c r="A42">
        <v>41</v>
      </c>
      <c r="B42">
        <f>'REKAP A.R'!F42/'REKAP A.R'!G42</f>
        <v>0.11923542663481126</v>
      </c>
      <c r="C42" s="6">
        <f>'REKAP A.R'!N42/'REKAP A.R'!O42</f>
        <v>0.5</v>
      </c>
      <c r="D42" s="2">
        <f>('REKAP A.R'!AJ42-'REKAP A.R'!AK43)/'REKAP A.R'!G42</f>
        <v>0.79612290592117196</v>
      </c>
      <c r="E42">
        <f>'REKAP A.R'!AH42</f>
        <v>0</v>
      </c>
      <c r="F42">
        <f>'REKAP A.R'!AI42</f>
        <v>1</v>
      </c>
      <c r="G42" s="3">
        <f>('REKAP A.R'!P42-'REKAP A.R'!R42)/('REKAP A.R'!Q42-'REKAP A.R'!S42)</f>
        <v>1.0329526019839554</v>
      </c>
      <c r="H42" s="7">
        <f>(('REKAP A.R'!S42-'REKAP A.R'!V42)/'REKAP A.R'!S42)/(('REKAP A.R'!R42-'REKAP A.R'!U42)/'REKAP A.R'!R42)</f>
        <v>1.0420406230574721</v>
      </c>
      <c r="I42" s="4">
        <f>((1-('REKAP A.R'!I42+'REKAP A.R'!X42))/'REKAP A.R'!G42)/((1-('REKAP A.R'!J42+'REKAP A.R'!Y42)/'REKAP A.R'!J42))</f>
        <v>2.8194814119471578</v>
      </c>
      <c r="J42">
        <f>'REKAP A.R'!R42/'REKAP A.R'!S42</f>
        <v>1.0787041537597701</v>
      </c>
      <c r="K42">
        <f>('REKAP A.R'!AA42/('REKAP A.R'!AA42+'REKAP A.R'!Y42))/('REKAP A.R'!Z42/('REKAP A.R'!Z42+'REKAP A.R'!X42))</f>
        <v>1.159579031021027</v>
      </c>
      <c r="L42">
        <f>('REKAP A.R'!AB42/'REKAP A.R'!R42)/('REKAP A.R'!AC42/'REKAP A.R'!S42)</f>
        <v>0.92703823983114297</v>
      </c>
      <c r="M42" s="5">
        <f>(('REKAP A.R'!AD42+'REKAP A.R'!AF42)/'REKAP A.R'!G42)/(('REKAP A.R'!AE42+'REKAP A.R'!AG42)/'REKAP A.R'!H42)</f>
        <v>0.8969635242529691</v>
      </c>
      <c r="N42" s="2">
        <f>(('REKAP A.R'!AN42-'REKAP A.R'!AO42)-('REKAP A.R'!AP42-'REKAP A.R'!AQ42)-('REKAP A.R'!AL42-'REKAP A.R'!AM42)-('REKAP A.R'!Z42))/'REKAP A.R'!G42</f>
        <v>-6.0421064598571841E-2</v>
      </c>
    </row>
    <row r="43" spans="1:14" x14ac:dyDescent="0.25">
      <c r="A43">
        <v>42</v>
      </c>
      <c r="B43">
        <f>'REKAP A.R'!F43/'REKAP A.R'!G43</f>
        <v>0.12119563403916878</v>
      </c>
      <c r="C43" s="6">
        <f>'REKAP A.R'!N43/'REKAP A.R'!O43</f>
        <v>0.5</v>
      </c>
      <c r="D43" s="2">
        <f>('REKAP A.R'!AJ43-'REKAP A.R'!AK44)/'REKAP A.R'!G43</f>
        <v>0.94564976928788869</v>
      </c>
      <c r="E43">
        <f>'REKAP A.R'!AH43</f>
        <v>1</v>
      </c>
      <c r="F43">
        <f>'REKAP A.R'!AI43</f>
        <v>1</v>
      </c>
      <c r="G43" s="3">
        <f>('REKAP A.R'!P43-'REKAP A.R'!R43)/('REKAP A.R'!Q43-'REKAP A.R'!S43)</f>
        <v>1.1144143394044943</v>
      </c>
      <c r="H43" s="7">
        <f>(('REKAP A.R'!S43-'REKAP A.R'!V43)/'REKAP A.R'!S43)/(('REKAP A.R'!R43-'REKAP A.R'!U43)/'REKAP A.R'!R43)</f>
        <v>1.0140221263994591</v>
      </c>
      <c r="I43" s="4">
        <f>((1-('REKAP A.R'!I43+'REKAP A.R'!X43))/'REKAP A.R'!G43)/((1-('REKAP A.R'!J43+'REKAP A.R'!Y43)/'REKAP A.R'!J43))</f>
        <v>2.7871840048547822</v>
      </c>
      <c r="J43">
        <f>'REKAP A.R'!R43/'REKAP A.R'!S43</f>
        <v>1.0666975526576976</v>
      </c>
      <c r="K43">
        <f>('REKAP A.R'!AA43/('REKAP A.R'!AA43+'REKAP A.R'!Y43))/('REKAP A.R'!Z43/('REKAP A.R'!Z43+'REKAP A.R'!X43))</f>
        <v>0.94249921529074698</v>
      </c>
      <c r="L43">
        <f>('REKAP A.R'!AB43/'REKAP A.R'!R43)/('REKAP A.R'!AC43/'REKAP A.R'!S43)</f>
        <v>0.93747285489544863</v>
      </c>
      <c r="M43" s="5">
        <f>(('REKAP A.R'!AD43+'REKAP A.R'!AF43)/'REKAP A.R'!G43)/(('REKAP A.R'!AE43+'REKAP A.R'!AG43)/'REKAP A.R'!H43)</f>
        <v>0.99833980846974368</v>
      </c>
      <c r="N43" s="2">
        <f>(('REKAP A.R'!AN43-'REKAP A.R'!AO43)-('REKAP A.R'!AP43-'REKAP A.R'!AQ43)-('REKAP A.R'!AL43-'REKAP A.R'!AM43)-('REKAP A.R'!Z43))/'REKAP A.R'!G43</f>
        <v>-0.16959575942022109</v>
      </c>
    </row>
    <row r="44" spans="1:14" x14ac:dyDescent="0.25">
      <c r="A44">
        <v>43</v>
      </c>
      <c r="B44">
        <f>'REKAP A.R'!F44/'REKAP A.R'!G44</f>
        <v>0.29370008801127595</v>
      </c>
      <c r="C44" s="6">
        <f>'REKAP A.R'!N44/'REKAP A.R'!O44</f>
        <v>0.4</v>
      </c>
      <c r="D44" s="2">
        <f>('REKAP A.R'!AJ44-'REKAP A.R'!AK45)/'REKAP A.R'!G44</f>
        <v>2.0361218730284878</v>
      </c>
      <c r="E44">
        <f>'REKAP A.R'!AH44</f>
        <v>1</v>
      </c>
      <c r="F44">
        <f>'REKAP A.R'!AI44</f>
        <v>1</v>
      </c>
      <c r="G44" s="3">
        <f>('REKAP A.R'!P44-'REKAP A.R'!R44)/('REKAP A.R'!Q44-'REKAP A.R'!S44)</f>
        <v>1.0363499114230075</v>
      </c>
      <c r="H44" s="7">
        <f>(('REKAP A.R'!S44-'REKAP A.R'!V44)/'REKAP A.R'!S44)/(('REKAP A.R'!R44-'REKAP A.R'!U44)/'REKAP A.R'!R44)</f>
        <v>1.0224888137863399</v>
      </c>
      <c r="I44" s="4">
        <f>((1-('REKAP A.R'!I44+'REKAP A.R'!X44))/'REKAP A.R'!G44)/((1-('REKAP A.R'!J44+'REKAP A.R'!Y44)/'REKAP A.R'!J44))</f>
        <v>4.6487026757838139</v>
      </c>
      <c r="J44">
        <f>'REKAP A.R'!R44/'REKAP A.R'!S44</f>
        <v>1.037969560408929</v>
      </c>
      <c r="K44">
        <f>('REKAP A.R'!AA44/('REKAP A.R'!AA44+'REKAP A.R'!Y44))/('REKAP A.R'!Z44/('REKAP A.R'!Z44+'REKAP A.R'!X44))</f>
        <v>0.93206214546632704</v>
      </c>
      <c r="L44">
        <f>('REKAP A.R'!AB44/'REKAP A.R'!R44)/('REKAP A.R'!AC44/'REKAP A.R'!S44)</f>
        <v>1.0239088896523409</v>
      </c>
      <c r="M44" s="5">
        <f>(('REKAP A.R'!AD44+'REKAP A.R'!AF44)/'REKAP A.R'!G44)/(('REKAP A.R'!AE44+'REKAP A.R'!AG44)/'REKAP A.R'!H44)</f>
        <v>1.0674876864240579</v>
      </c>
      <c r="N44" s="2">
        <f>(('REKAP A.R'!AN44-'REKAP A.R'!AO44)-('REKAP A.R'!AP44-'REKAP A.R'!AQ44)-('REKAP A.R'!AL44-'REKAP A.R'!AM44)-('REKAP A.R'!Z44))/'REKAP A.R'!G44</f>
        <v>-0.16707722292332017</v>
      </c>
    </row>
    <row r="45" spans="1:14" x14ac:dyDescent="0.25">
      <c r="A45">
        <v>44</v>
      </c>
      <c r="B45">
        <f>'REKAP A.R'!F45/'REKAP A.R'!G45</f>
        <v>0.29050890490236342</v>
      </c>
      <c r="C45" s="6">
        <f>'REKAP A.R'!N45/'REKAP A.R'!O45</f>
        <v>0.4</v>
      </c>
      <c r="D45" s="2">
        <f>('REKAP A.R'!AJ45-'REKAP A.R'!AK46)/'REKAP A.R'!G45</f>
        <v>2.1370825806900156</v>
      </c>
      <c r="E45">
        <f>'REKAP A.R'!AH45</f>
        <v>1</v>
      </c>
      <c r="F45">
        <f>'REKAP A.R'!AI45</f>
        <v>1</v>
      </c>
      <c r="G45" s="3">
        <f>('REKAP A.R'!P45-'REKAP A.R'!R45)/('REKAP A.R'!Q45-'REKAP A.R'!S45)</f>
        <v>1.1145689276937853</v>
      </c>
      <c r="H45" s="7">
        <f>(('REKAP A.R'!S45-'REKAP A.R'!V45)/'REKAP A.R'!S45)/(('REKAP A.R'!R45-'REKAP A.R'!U45)/'REKAP A.R'!R45)</f>
        <v>1.0233279167654397</v>
      </c>
      <c r="I45" s="4">
        <f>((1-('REKAP A.R'!I45+'REKAP A.R'!X45))/'REKAP A.R'!G45)/((1-('REKAP A.R'!J45+'REKAP A.R'!Y45)/'REKAP A.R'!J45))</f>
        <v>4.8025276320977071</v>
      </c>
      <c r="J45">
        <f>'REKAP A.R'!R45/'REKAP A.R'!S45</f>
        <v>1.0772054942683067</v>
      </c>
      <c r="K45">
        <f>('REKAP A.R'!AA45/('REKAP A.R'!AA45+'REKAP A.R'!Y45))/('REKAP A.R'!Z45/('REKAP A.R'!Z45+'REKAP A.R'!X45))</f>
        <v>0.9744191640113341</v>
      </c>
      <c r="L45">
        <f>('REKAP A.R'!AB45/'REKAP A.R'!R45)/('REKAP A.R'!AC45/'REKAP A.R'!S45)</f>
        <v>1.1625780063898887</v>
      </c>
      <c r="M45" s="5">
        <f>(('REKAP A.R'!AD45+'REKAP A.R'!AF45)/'REKAP A.R'!G45)/(('REKAP A.R'!AE45+'REKAP A.R'!AG45)/'REKAP A.R'!H45)</f>
        <v>1.1529603092991305</v>
      </c>
      <c r="N45" s="2">
        <f>(('REKAP A.R'!AN45-'REKAP A.R'!AO45)-('REKAP A.R'!AP45-'REKAP A.R'!AQ45)-('REKAP A.R'!AL45-'REKAP A.R'!AM45)-('REKAP A.R'!Z45))/'REKAP A.R'!G45</f>
        <v>-0.26748520784972113</v>
      </c>
    </row>
    <row r="46" spans="1:14" x14ac:dyDescent="0.25">
      <c r="A46">
        <v>45</v>
      </c>
      <c r="B46">
        <f>'REKAP A.R'!F46/'REKAP A.R'!G46</f>
        <v>2.6956302993155581</v>
      </c>
      <c r="C46" s="6">
        <f>'REKAP A.R'!N46/'REKAP A.R'!O46</f>
        <v>0.4</v>
      </c>
      <c r="D46" s="2">
        <f>('REKAP A.R'!AJ46-'REKAP A.R'!AK47)/'REKAP A.R'!G46</f>
        <v>22.846209049403964</v>
      </c>
      <c r="E46">
        <f>'REKAP A.R'!AH46</f>
        <v>1</v>
      </c>
      <c r="F46">
        <f>'REKAP A.R'!AI46</f>
        <v>1</v>
      </c>
      <c r="G46" s="3">
        <f>('REKAP A.R'!P46-'REKAP A.R'!R46)/('REKAP A.R'!Q46-'REKAP A.R'!S46)</f>
        <v>0.99144759515500269</v>
      </c>
      <c r="H46" s="7">
        <f>(('REKAP A.R'!S46-'REKAP A.R'!V46)/'REKAP A.R'!S46)/(('REKAP A.R'!R46-'REKAP A.R'!U46)/'REKAP A.R'!R46)</f>
        <v>0.96952174542421721</v>
      </c>
      <c r="I46" s="4">
        <f>((1-('REKAP A.R'!I46+'REKAP A.R'!X46))/'REKAP A.R'!G46)/((1-('REKAP A.R'!J46+'REKAP A.R'!Y46)/'REKAP A.R'!J46))</f>
        <v>49.96070003609934</v>
      </c>
      <c r="J46">
        <f>'REKAP A.R'!R46/'REKAP A.R'!S46</f>
        <v>0.99356658390097286</v>
      </c>
      <c r="K46">
        <f>('REKAP A.R'!AA46/('REKAP A.R'!AA46+'REKAP A.R'!Y46))/('REKAP A.R'!Z46/('REKAP A.R'!Z46+'REKAP A.R'!X46))</f>
        <v>0.92465833207518322</v>
      </c>
      <c r="L46">
        <f>('REKAP A.R'!AB46/'REKAP A.R'!R46)/('REKAP A.R'!AC46/'REKAP A.R'!S46)</f>
        <v>1.0554918574244443</v>
      </c>
      <c r="M46" s="5">
        <f>(('REKAP A.R'!AD46+'REKAP A.R'!AF46)/'REKAP A.R'!G46)/(('REKAP A.R'!AE46+'REKAP A.R'!AG46)/'REKAP A.R'!H46)</f>
        <v>12.394868563676908</v>
      </c>
      <c r="N46" s="2">
        <f>(('REKAP A.R'!AN46-'REKAP A.R'!AO46)-('REKAP A.R'!AP46-'REKAP A.R'!AQ46)-('REKAP A.R'!AL46-'REKAP A.R'!AM46)-('REKAP A.R'!Z46))/'REKAP A.R'!G46</f>
        <v>-1.9947993037711089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opLeftCell="D1" workbookViewId="0">
      <selection activeCell="G1" sqref="G1"/>
    </sheetView>
  </sheetViews>
  <sheetFormatPr defaultRowHeight="15" x14ac:dyDescent="0.25"/>
  <cols>
    <col min="2" max="2" width="14.5703125" customWidth="1"/>
    <col min="3" max="3" width="14.85546875" customWidth="1"/>
    <col min="4" max="4" width="16.42578125" customWidth="1"/>
    <col min="5" max="5" width="16.7109375" customWidth="1"/>
    <col min="6" max="6" width="14" customWidth="1"/>
    <col min="7" max="7" width="22.5703125" customWidth="1"/>
  </cols>
  <sheetData>
    <row r="1" spans="1:7" ht="31.5" x14ac:dyDescent="0.25">
      <c r="A1" s="32" t="s">
        <v>58</v>
      </c>
      <c r="B1" s="33" t="s">
        <v>91</v>
      </c>
      <c r="C1" s="33" t="s">
        <v>92</v>
      </c>
      <c r="D1" s="31" t="s">
        <v>93</v>
      </c>
      <c r="E1" s="31" t="s">
        <v>94</v>
      </c>
      <c r="F1" s="33" t="s">
        <v>95</v>
      </c>
      <c r="G1" s="34" t="s">
        <v>96</v>
      </c>
    </row>
    <row r="2" spans="1:7" x14ac:dyDescent="0.25">
      <c r="A2" s="32">
        <v>1</v>
      </c>
      <c r="B2" s="35">
        <f>'HASIL HITUNGAN'!B2</f>
        <v>6.2210741884582296E-2</v>
      </c>
      <c r="C2" s="35">
        <f>'HASIL HITUNGAN'!C2</f>
        <v>0.5</v>
      </c>
      <c r="D2" s="35">
        <f>'HASIL HITUNGAN'!D2</f>
        <v>0.73111207594244232</v>
      </c>
      <c r="E2" s="35">
        <f>'HASIL HITUNGAN'!E2</f>
        <v>1</v>
      </c>
      <c r="F2" s="35">
        <f>'HASIL HITUNGAN'!F2</f>
        <v>1</v>
      </c>
      <c r="G2" s="35">
        <f>-4.84+(0.92*'HASIL HITUNGAN'!G2)+(0.528*'HASIL HITUNGAN'!H2)+(0.404*'HASIL HITUNGAN'!I2)+(0.892*'HASIL HITUNGAN'!J2)+(0.11*'HASIL HITUNGAN'!K2)-(0.172*'HASIL HITUNGAN'!L2)+(4.679*'HASIL HITUNGAN'!N2)-(0.327*'HASIL HITUNGAN'!M2)</f>
        <v>-2.5835301134161859</v>
      </c>
    </row>
    <row r="3" spans="1:7" x14ac:dyDescent="0.25">
      <c r="A3" s="32">
        <v>2</v>
      </c>
      <c r="B3" s="35">
        <f>'HASIL HITUNGAN'!B3</f>
        <v>2.7583735651321911E-2</v>
      </c>
      <c r="C3" s="35">
        <f>'HASIL HITUNGAN'!C3</f>
        <v>0.5</v>
      </c>
      <c r="D3" s="35">
        <f>'HASIL HITUNGAN'!D3</f>
        <v>5.4750401970951067E-2</v>
      </c>
      <c r="E3" s="35">
        <f>'HASIL HITUNGAN'!E3</f>
        <v>0</v>
      </c>
      <c r="F3" s="35">
        <f>'HASIL HITUNGAN'!F3</f>
        <v>1</v>
      </c>
      <c r="G3" s="35">
        <f>-4.84+(0.92*'HASIL HITUNGAN'!G3)+(0.528*'HASIL HITUNGAN'!H3)+(0.404*'HASIL HITUNGAN'!I3)+(0.892*'HASIL HITUNGAN'!J3)+(0.11*'HASIL HITUNGAN'!K3)-(0.172*'HASIL HITUNGAN'!L3)+(4.679*'HASIL HITUNGAN'!N3)-(0.327*'HASIL HITUNGAN'!M3)</f>
        <v>-2.7219042629365306</v>
      </c>
    </row>
    <row r="4" spans="1:7" x14ac:dyDescent="0.25">
      <c r="A4" s="32">
        <v>3</v>
      </c>
      <c r="B4" s="35">
        <f>'HASIL HITUNGAN'!B4</f>
        <v>1.3846887777803553E-2</v>
      </c>
      <c r="C4" s="35">
        <f>'HASIL HITUNGAN'!C4</f>
        <v>0.5</v>
      </c>
      <c r="D4" s="35">
        <f>'HASIL HITUNGAN'!D4</f>
        <v>0</v>
      </c>
      <c r="E4" s="35">
        <f>'HASIL HITUNGAN'!E4</f>
        <v>0</v>
      </c>
      <c r="F4" s="35">
        <f>'HASIL HITUNGAN'!F4</f>
        <v>1</v>
      </c>
      <c r="G4" s="35">
        <f>-4.84+(0.92*'HASIL HITUNGAN'!G4)+(0.528*'HASIL HITUNGAN'!H4)+(0.404*'HASIL HITUNGAN'!I4)+(0.892*'HASIL HITUNGAN'!J4)+(0.11*'HASIL HITUNGAN'!K4)-(0.172*'HASIL HITUNGAN'!L4)+(4.679*'HASIL HITUNGAN'!N4)-(0.327*'HASIL HITUNGAN'!M4)</f>
        <v>-3.2856030429041065</v>
      </c>
    </row>
    <row r="5" spans="1:7" x14ac:dyDescent="0.25">
      <c r="A5" s="32">
        <v>4</v>
      </c>
      <c r="B5" s="35">
        <f>'HASIL HITUNGAN'!B5</f>
        <v>5.8506856442011583E-2</v>
      </c>
      <c r="C5" s="35">
        <f>'HASIL HITUNGAN'!C5</f>
        <v>0.375</v>
      </c>
      <c r="D5" s="35">
        <f>'HASIL HITUNGAN'!D5</f>
        <v>3.9484946739739943E-2</v>
      </c>
      <c r="E5" s="35">
        <f>'HASIL HITUNGAN'!E5</f>
        <v>0</v>
      </c>
      <c r="F5" s="35">
        <f>'HASIL HITUNGAN'!F5</f>
        <v>1</v>
      </c>
      <c r="G5" s="35">
        <f>-4.84+(0.92*'HASIL HITUNGAN'!G5)+(0.528*'HASIL HITUNGAN'!H5)+(0.404*'HASIL HITUNGAN'!I5)+(0.892*'HASIL HITUNGAN'!J5)+(0.11*'HASIL HITUNGAN'!K5)-(0.172*'HASIL HITUNGAN'!L5)+(4.679*'HASIL HITUNGAN'!N5)-(0.327*'HASIL HITUNGAN'!M5)</f>
        <v>-3.7632992044757265</v>
      </c>
    </row>
    <row r="6" spans="1:7" x14ac:dyDescent="0.25">
      <c r="A6" s="32">
        <v>5</v>
      </c>
      <c r="B6" s="35">
        <f>'HASIL HITUNGAN'!B6</f>
        <v>5.1398014100094022E-2</v>
      </c>
      <c r="C6" s="35">
        <f>'HASIL HITUNGAN'!C6</f>
        <v>0.375</v>
      </c>
      <c r="D6" s="35">
        <f>'HASIL HITUNGAN'!D6</f>
        <v>0.6230441183886154</v>
      </c>
      <c r="E6" s="35">
        <f>'HASIL HITUNGAN'!E6</f>
        <v>0</v>
      </c>
      <c r="F6" s="35">
        <f>'HASIL HITUNGAN'!F6</f>
        <v>1</v>
      </c>
      <c r="G6" s="35">
        <f>-4.84+(0.92*'HASIL HITUNGAN'!G6)+(0.528*'HASIL HITUNGAN'!H6)+(0.404*'HASIL HITUNGAN'!I6)+(0.892*'HASIL HITUNGAN'!J6)+(0.11*'HASIL HITUNGAN'!K6)-(0.172*'HASIL HITUNGAN'!L6)+(4.679*'HASIL HITUNGAN'!N6)-(0.327*'HASIL HITUNGAN'!M6)</f>
        <v>-3.8927852300331423</v>
      </c>
    </row>
    <row r="7" spans="1:7" x14ac:dyDescent="0.25">
      <c r="A7" s="32">
        <v>6</v>
      </c>
      <c r="B7" s="35">
        <f>'HASIL HITUNGAN'!B7</f>
        <v>6.1359848435983327E-2</v>
      </c>
      <c r="C7" s="35">
        <f>'HASIL HITUNGAN'!C7</f>
        <v>0.375</v>
      </c>
      <c r="D7" s="35">
        <f>'HASIL HITUNGAN'!D7</f>
        <v>-2497.2880684002762</v>
      </c>
      <c r="E7" s="35">
        <f>'HASIL HITUNGAN'!E7</f>
        <v>0</v>
      </c>
      <c r="F7" s="35">
        <f>'HASIL HITUNGAN'!F7</f>
        <v>1</v>
      </c>
      <c r="G7" s="35">
        <f>-4.84+(0.92*'HASIL HITUNGAN'!G7)+(0.528*'HASIL HITUNGAN'!H7)+(0.404*'HASIL HITUNGAN'!I7)+(0.892*'HASIL HITUNGAN'!J7)+(0.11*'HASIL HITUNGAN'!K7)-(0.172*'HASIL HITUNGAN'!L7)+(4.679*'HASIL HITUNGAN'!N7)-(0.327*'HASIL HITUNGAN'!M7)</f>
        <v>-3.6686895626484559</v>
      </c>
    </row>
    <row r="8" spans="1:7" x14ac:dyDescent="0.25">
      <c r="A8" s="32">
        <v>7</v>
      </c>
      <c r="B8" s="35">
        <f>'HASIL HITUNGAN'!B8</f>
        <v>3.3881938404455109E-2</v>
      </c>
      <c r="C8" s="35">
        <f>'HASIL HITUNGAN'!C8</f>
        <v>0.5</v>
      </c>
      <c r="D8" s="35">
        <f>'HASIL HITUNGAN'!D8</f>
        <v>0.93982223567753809</v>
      </c>
      <c r="E8" s="35">
        <f>'HASIL HITUNGAN'!E8</f>
        <v>0</v>
      </c>
      <c r="F8" s="35">
        <f>'HASIL HITUNGAN'!F8</f>
        <v>1</v>
      </c>
      <c r="G8" s="35">
        <f>-4.84+(0.92*'HASIL HITUNGAN'!G8)+(0.528*'HASIL HITUNGAN'!H8)+(0.404*'HASIL HITUNGAN'!I8)+(0.892*'HASIL HITUNGAN'!J8)+(0.11*'HASIL HITUNGAN'!K8)-(0.172*'HASIL HITUNGAN'!L8)+(4.679*'HASIL HITUNGAN'!N8)-(0.327*'HASIL HITUNGAN'!M8)</f>
        <v>-2.9456383373037514</v>
      </c>
    </row>
    <row r="9" spans="1:7" x14ac:dyDescent="0.25">
      <c r="A9" s="32">
        <v>8</v>
      </c>
      <c r="B9" s="35">
        <f>'HASIL HITUNGAN'!B9</f>
        <v>3.196838989098566E-2</v>
      </c>
      <c r="C9" s="35">
        <f>'HASIL HITUNGAN'!C9</f>
        <v>0.5</v>
      </c>
      <c r="D9" s="35">
        <f>'HASIL HITUNGAN'!D9</f>
        <v>0.73406731556852733</v>
      </c>
      <c r="E9" s="35">
        <f>'HASIL HITUNGAN'!E9</f>
        <v>0</v>
      </c>
      <c r="F9" s="35">
        <f>'HASIL HITUNGAN'!F9</f>
        <v>1</v>
      </c>
      <c r="G9" s="35">
        <f>-4.84+(0.92*'HASIL HITUNGAN'!G9)+(0.528*'HASIL HITUNGAN'!H9)+(0.404*'HASIL HITUNGAN'!I9)+(0.892*'HASIL HITUNGAN'!J9)+(0.11*'HASIL HITUNGAN'!K9)-(0.172*'HASIL HITUNGAN'!L9)+(4.679*'HASIL HITUNGAN'!N9)-(0.327*'HASIL HITUNGAN'!M9)</f>
        <v>-2.7184818221261589</v>
      </c>
    </row>
    <row r="10" spans="1:7" x14ac:dyDescent="0.25">
      <c r="A10" s="32">
        <v>9</v>
      </c>
      <c r="B10" s="35">
        <f>'HASIL HITUNGAN'!B10</f>
        <v>0.1435355708051318</v>
      </c>
      <c r="C10" s="35">
        <f>'HASIL HITUNGAN'!C10</f>
        <v>0.5</v>
      </c>
      <c r="D10" s="35">
        <f>'HASIL HITUNGAN'!D10</f>
        <v>1.2158108477604934</v>
      </c>
      <c r="E10" s="35">
        <f>'HASIL HITUNGAN'!E10</f>
        <v>0</v>
      </c>
      <c r="F10" s="35">
        <f>'HASIL HITUNGAN'!F10</f>
        <v>1</v>
      </c>
      <c r="G10" s="35">
        <f>-4.84+(0.92*'HASIL HITUNGAN'!G10)+(0.528*'HASIL HITUNGAN'!H10)+(0.404*'HASIL HITUNGAN'!I10)+(0.892*'HASIL HITUNGAN'!J10)+(0.11*'HASIL HITUNGAN'!K10)-(0.172*'HASIL HITUNGAN'!L10)+(4.679*'HASIL HITUNGAN'!N10)-(0.327*'HASIL HITUNGAN'!M10)</f>
        <v>5.1760285394868975</v>
      </c>
    </row>
    <row r="11" spans="1:7" x14ac:dyDescent="0.25">
      <c r="A11" s="32">
        <v>10</v>
      </c>
      <c r="B11" s="35">
        <f>'HASIL HITUNGAN'!B11</f>
        <v>0.11205652939510709</v>
      </c>
      <c r="C11" s="35">
        <f>'HASIL HITUNGAN'!C11</f>
        <v>0.5</v>
      </c>
      <c r="D11" s="35">
        <f>'HASIL HITUNGAN'!D11</f>
        <v>0.97916078027005726</v>
      </c>
      <c r="E11" s="35">
        <f>'HASIL HITUNGAN'!E11</f>
        <v>0</v>
      </c>
      <c r="F11" s="35">
        <f>'HASIL HITUNGAN'!F11</f>
        <v>1</v>
      </c>
      <c r="G11" s="35">
        <f>-4.84+(0.92*'HASIL HITUNGAN'!G11)+(0.528*'HASIL HITUNGAN'!H11)+(0.404*'HASIL HITUNGAN'!I11)+(0.892*'HASIL HITUNGAN'!J11)+(0.11*'HASIL HITUNGAN'!K11)-(0.172*'HASIL HITUNGAN'!L11)+(4.679*'HASIL HITUNGAN'!N11)-(0.327*'HASIL HITUNGAN'!M11)</f>
        <v>-2.8259425798854703</v>
      </c>
    </row>
    <row r="12" spans="1:7" x14ac:dyDescent="0.25">
      <c r="A12" s="32">
        <v>11</v>
      </c>
      <c r="B12" s="35">
        <f>'HASIL HITUNGAN'!B12</f>
        <v>0.13555911948830909</v>
      </c>
      <c r="C12" s="35">
        <f>'HASIL HITUNGAN'!C12</f>
        <v>0.5</v>
      </c>
      <c r="D12" s="35">
        <f>'HASIL HITUNGAN'!D12</f>
        <v>0.90819096944108235</v>
      </c>
      <c r="E12" s="35">
        <f>'HASIL HITUNGAN'!E12</f>
        <v>0</v>
      </c>
      <c r="F12" s="35">
        <f>'HASIL HITUNGAN'!F12</f>
        <v>1</v>
      </c>
      <c r="G12" s="35">
        <f>-4.84+(0.92*'HASIL HITUNGAN'!G12)+(0.528*'HASIL HITUNGAN'!H12)+(0.404*'HASIL HITUNGAN'!I12)+(0.892*'HASIL HITUNGAN'!J12)+(0.11*'HASIL HITUNGAN'!K12)-(0.172*'HASIL HITUNGAN'!L12)+(4.679*'HASIL HITUNGAN'!N12)-(0.327*'HASIL HITUNGAN'!M12)</f>
        <v>-2.7716276369207336</v>
      </c>
    </row>
    <row r="13" spans="1:7" x14ac:dyDescent="0.25">
      <c r="A13" s="32">
        <v>12</v>
      </c>
      <c r="B13" s="35">
        <f>'HASIL HITUNGAN'!B13</f>
        <v>0.13846871582379372</v>
      </c>
      <c r="C13" s="35">
        <f>'HASIL HITUNGAN'!C13</f>
        <v>0.5</v>
      </c>
      <c r="D13" s="35">
        <f>'HASIL HITUNGAN'!D13</f>
        <v>1.0173905432682171</v>
      </c>
      <c r="E13" s="35">
        <f>'HASIL HITUNGAN'!E13</f>
        <v>0</v>
      </c>
      <c r="F13" s="35">
        <f>'HASIL HITUNGAN'!F13</f>
        <v>1</v>
      </c>
      <c r="G13" s="35">
        <f>-4.84+(0.92*'HASIL HITUNGAN'!G13)+(0.528*'HASIL HITUNGAN'!H13)+(0.404*'HASIL HITUNGAN'!I13)+(0.892*'HASIL HITUNGAN'!J13)+(0.11*'HASIL HITUNGAN'!K13)-(0.172*'HASIL HITUNGAN'!L13)+(4.679*'HASIL HITUNGAN'!N13)-(0.327*'HASIL HITUNGAN'!M13)</f>
        <v>-3.1616824500363485</v>
      </c>
    </row>
    <row r="14" spans="1:7" x14ac:dyDescent="0.25">
      <c r="A14" s="32">
        <v>13</v>
      </c>
      <c r="B14" s="35">
        <f>'HASIL HITUNGAN'!B14</f>
        <v>0.52670355263860325</v>
      </c>
      <c r="C14" s="35">
        <f>'HASIL HITUNGAN'!C14</f>
        <v>0.33333333333333331</v>
      </c>
      <c r="D14" s="35">
        <f>'HASIL HITUNGAN'!D14</f>
        <v>0</v>
      </c>
      <c r="E14" s="35">
        <f>'HASIL HITUNGAN'!E14</f>
        <v>0</v>
      </c>
      <c r="F14" s="35">
        <f>'HASIL HITUNGAN'!F14</f>
        <v>1</v>
      </c>
      <c r="G14" s="35">
        <f>-4.84+(0.92*'HASIL HITUNGAN'!G14)+(0.528*'HASIL HITUNGAN'!H14)+(0.404*'HASIL HITUNGAN'!I14)+(0.892*'HASIL HITUNGAN'!J14)+(0.11*'HASIL HITUNGAN'!K14)-(0.172*'HASIL HITUNGAN'!L14)+(4.679*'HASIL HITUNGAN'!N14)-(0.327*'HASIL HITUNGAN'!M14)</f>
        <v>-1.8647501507816437</v>
      </c>
    </row>
    <row r="15" spans="1:7" x14ac:dyDescent="0.25">
      <c r="A15" s="32">
        <v>14</v>
      </c>
      <c r="B15" s="35">
        <f>'HASIL HITUNGAN'!B15</f>
        <v>0.4238818398055581</v>
      </c>
      <c r="C15" s="35">
        <f>'HASIL HITUNGAN'!C15</f>
        <v>0.33333333333333331</v>
      </c>
      <c r="D15" s="35">
        <f>'HASIL HITUNGAN'!D15</f>
        <v>0</v>
      </c>
      <c r="E15" s="35">
        <f>'HASIL HITUNGAN'!E15</f>
        <v>0</v>
      </c>
      <c r="F15" s="35">
        <f>'HASIL HITUNGAN'!F15</f>
        <v>1</v>
      </c>
      <c r="G15" s="35">
        <f>-4.84+(0.92*'HASIL HITUNGAN'!G15)+(0.528*'HASIL HITUNGAN'!H15)+(0.404*'HASIL HITUNGAN'!I15)+(0.892*'HASIL HITUNGAN'!J15)+(0.11*'HASIL HITUNGAN'!K15)-(0.172*'HASIL HITUNGAN'!L15)+(4.679*'HASIL HITUNGAN'!N15)-(0.327*'HASIL HITUNGAN'!M15)</f>
        <v>-4.8707768722816489</v>
      </c>
    </row>
    <row r="16" spans="1:7" x14ac:dyDescent="0.25">
      <c r="A16" s="32">
        <v>15</v>
      </c>
      <c r="B16" s="35">
        <f>'HASIL HITUNGAN'!B16</f>
        <v>4.1632026786793004</v>
      </c>
      <c r="C16" s="35">
        <f>'HASIL HITUNGAN'!C16</f>
        <v>0.33333333333333331</v>
      </c>
      <c r="D16" s="35">
        <f>'HASIL HITUNGAN'!D16</f>
        <v>3.4224857177376204</v>
      </c>
      <c r="E16" s="35">
        <f>'HASIL HITUNGAN'!E16</f>
        <v>1</v>
      </c>
      <c r="F16" s="35">
        <f>'HASIL HITUNGAN'!F16</f>
        <v>1</v>
      </c>
      <c r="G16" s="35">
        <f>-4.84+(0.92*'HASIL HITUNGAN'!G16)+(0.528*'HASIL HITUNGAN'!H16)+(0.404*'HASIL HITUNGAN'!I16)+(0.892*'HASIL HITUNGAN'!J16)+(0.11*'HASIL HITUNGAN'!K16)-(0.172*'HASIL HITUNGAN'!L16)+(4.679*'HASIL HITUNGAN'!N16)-(0.327*'HASIL HITUNGAN'!M16)</f>
        <v>-29.226550727044245</v>
      </c>
    </row>
    <row r="17" spans="1:7" x14ac:dyDescent="0.25">
      <c r="A17" s="32">
        <v>16</v>
      </c>
      <c r="B17" s="35">
        <f>'HASIL HITUNGAN'!B17</f>
        <v>0.16902011843462633</v>
      </c>
      <c r="C17" s="35">
        <f>'HASIL HITUNGAN'!C17</f>
        <v>0.4</v>
      </c>
      <c r="D17" s="35">
        <f>'HASIL HITUNGAN'!D17</f>
        <v>0.53195081499006713</v>
      </c>
      <c r="E17" s="35">
        <f>'HASIL HITUNGAN'!E17</f>
        <v>1</v>
      </c>
      <c r="F17" s="35">
        <f>'HASIL HITUNGAN'!F17</f>
        <v>1</v>
      </c>
      <c r="G17" s="35">
        <f>-4.84+(0.92*'HASIL HITUNGAN'!G17)+(0.528*'HASIL HITUNGAN'!H17)+(0.404*'HASIL HITUNGAN'!I17)+(0.892*'HASIL HITUNGAN'!J17)+(0.11*'HASIL HITUNGAN'!K17)-(0.172*'HASIL HITUNGAN'!L17)+(4.679*'HASIL HITUNGAN'!N17)-(0.327*'HASIL HITUNGAN'!M17)</f>
        <v>-3.158985590170976</v>
      </c>
    </row>
    <row r="18" spans="1:7" x14ac:dyDescent="0.25">
      <c r="A18" s="32">
        <v>17</v>
      </c>
      <c r="B18" s="35">
        <f>'HASIL HITUNGAN'!B18</f>
        <v>0.19889843925086917</v>
      </c>
      <c r="C18" s="35">
        <f>'HASIL HITUNGAN'!C18</f>
        <v>0.4</v>
      </c>
      <c r="D18" s="35">
        <f>'HASIL HITUNGAN'!D18</f>
        <v>0.58794569077200931</v>
      </c>
      <c r="E18" s="35">
        <f>'HASIL HITUNGAN'!E18</f>
        <v>1</v>
      </c>
      <c r="F18" s="35">
        <f>'HASIL HITUNGAN'!F18</f>
        <v>1</v>
      </c>
      <c r="G18" s="35">
        <f>-4.84+(0.92*'HASIL HITUNGAN'!G18)+(0.528*'HASIL HITUNGAN'!H18)+(0.404*'HASIL HITUNGAN'!I18)+(0.892*'HASIL HITUNGAN'!J18)+(0.11*'HASIL HITUNGAN'!K18)-(0.172*'HASIL HITUNGAN'!L18)+(4.679*'HASIL HITUNGAN'!N18)-(0.327*'HASIL HITUNGAN'!M18)</f>
        <v>-3.0071620427159989</v>
      </c>
    </row>
    <row r="19" spans="1:7" x14ac:dyDescent="0.25">
      <c r="A19" s="32">
        <v>18</v>
      </c>
      <c r="B19" s="35">
        <f>'HASIL HITUNGAN'!B19</f>
        <v>0.22836084048790778</v>
      </c>
      <c r="C19" s="35">
        <f>'HASIL HITUNGAN'!C19</f>
        <v>0.4</v>
      </c>
      <c r="D19" s="35">
        <f>'HASIL HITUNGAN'!D19</f>
        <v>0.29432711941367834</v>
      </c>
      <c r="E19" s="35">
        <f>'HASIL HITUNGAN'!E19</f>
        <v>1</v>
      </c>
      <c r="F19" s="35">
        <f>'HASIL HITUNGAN'!F19</f>
        <v>1</v>
      </c>
      <c r="G19" s="35">
        <f>-4.84+(0.92*'HASIL HITUNGAN'!G19)+(0.528*'HASIL HITUNGAN'!H19)+(0.404*'HASIL HITUNGAN'!I19)+(0.892*'HASIL HITUNGAN'!J19)+(0.11*'HASIL HITUNGAN'!K19)-(0.172*'HASIL HITUNGAN'!L19)+(4.679*'HASIL HITUNGAN'!N19)-(0.327*'HASIL HITUNGAN'!M19)</f>
        <v>-3.4363293481459802</v>
      </c>
    </row>
    <row r="20" spans="1:7" x14ac:dyDescent="0.25">
      <c r="A20" s="32">
        <v>19</v>
      </c>
      <c r="B20" s="35">
        <f>'HASIL HITUNGAN'!B20</f>
        <v>6.804933884920987E-2</v>
      </c>
      <c r="C20" s="35">
        <f>'HASIL HITUNGAN'!C20</f>
        <v>0.33333333333333331</v>
      </c>
      <c r="D20" s="35">
        <f>'HASIL HITUNGAN'!D20</f>
        <v>0.67142261042579388</v>
      </c>
      <c r="E20" s="35">
        <f>'HASIL HITUNGAN'!E20</f>
        <v>1</v>
      </c>
      <c r="F20" s="35">
        <f>'HASIL HITUNGAN'!F20</f>
        <v>1</v>
      </c>
      <c r="G20" s="35">
        <f>-4.84+(0.92*'HASIL HITUNGAN'!G20)+(0.528*'HASIL HITUNGAN'!H20)+(0.404*'HASIL HITUNGAN'!I20)+(0.892*'HASIL HITUNGAN'!J20)+(0.11*'HASIL HITUNGAN'!K20)-(0.172*'HASIL HITUNGAN'!L20)+(4.679*'HASIL HITUNGAN'!N20)-(0.327*'HASIL HITUNGAN'!M20)</f>
        <v>-2.6944078799273341</v>
      </c>
    </row>
    <row r="21" spans="1:7" x14ac:dyDescent="0.25">
      <c r="A21" s="32">
        <v>20</v>
      </c>
      <c r="B21" s="35">
        <f>'HASIL HITUNGAN'!B21</f>
        <v>4.6779922246846309E-2</v>
      </c>
      <c r="C21" s="35">
        <f>'HASIL HITUNGAN'!C21</f>
        <v>0.33333333333333331</v>
      </c>
      <c r="D21" s="35">
        <f>'HASIL HITUNGAN'!D21</f>
        <v>0.45923957014222105</v>
      </c>
      <c r="E21" s="35">
        <f>'HASIL HITUNGAN'!E21</f>
        <v>1</v>
      </c>
      <c r="F21" s="35">
        <f>'HASIL HITUNGAN'!F21</f>
        <v>1</v>
      </c>
      <c r="G21" s="35">
        <f>-4.84+(0.92*'HASIL HITUNGAN'!G21)+(0.528*'HASIL HITUNGAN'!H21)+(0.404*'HASIL HITUNGAN'!I21)+(0.892*'HASIL HITUNGAN'!J21)+(0.11*'HASIL HITUNGAN'!K21)-(0.172*'HASIL HITUNGAN'!L21)+(4.679*'HASIL HITUNGAN'!N21)-(0.327*'HASIL HITUNGAN'!M21)</f>
        <v>-2.9953683274572311</v>
      </c>
    </row>
    <row r="22" spans="1:7" x14ac:dyDescent="0.25">
      <c r="A22" s="32">
        <v>21</v>
      </c>
      <c r="B22" s="35">
        <f>'HASIL HITUNGAN'!B22</f>
        <v>3.8071409651890285E-2</v>
      </c>
      <c r="C22" s="35">
        <f>'HASIL HITUNGAN'!C22</f>
        <v>0.33333333333333331</v>
      </c>
      <c r="D22" s="35">
        <f>'HASIL HITUNGAN'!D22</f>
        <v>-20946.806091089198</v>
      </c>
      <c r="E22" s="35">
        <f>'HASIL HITUNGAN'!E22</f>
        <v>1</v>
      </c>
      <c r="F22" s="35">
        <f>'HASIL HITUNGAN'!F22</f>
        <v>1</v>
      </c>
      <c r="G22" s="35">
        <f>-4.84+(0.92*'HASIL HITUNGAN'!G22)+(0.528*'HASIL HITUNGAN'!H22)+(0.404*'HASIL HITUNGAN'!I22)+(0.892*'HASIL HITUNGAN'!J22)+(0.11*'HASIL HITUNGAN'!K22)-(0.172*'HASIL HITUNGAN'!L22)+(4.679*'HASIL HITUNGAN'!N22)-(0.327*'HASIL HITUNGAN'!M22)</f>
        <v>-3.4416086549237361</v>
      </c>
    </row>
    <row r="23" spans="1:7" x14ac:dyDescent="0.25">
      <c r="A23" s="32">
        <v>22</v>
      </c>
      <c r="B23" s="35">
        <f>'HASIL HITUNGAN'!B23</f>
        <v>7.5842932001248781E-2</v>
      </c>
      <c r="C23" s="35">
        <f>'HASIL HITUNGAN'!C23</f>
        <v>0.4</v>
      </c>
      <c r="D23" s="35">
        <f>'HASIL HITUNGAN'!D23</f>
        <v>1.1206638856670508</v>
      </c>
      <c r="E23" s="35">
        <f>'HASIL HITUNGAN'!E23</f>
        <v>1</v>
      </c>
      <c r="F23" s="35">
        <f>'HASIL HITUNGAN'!F23</f>
        <v>1</v>
      </c>
      <c r="G23" s="35">
        <f>-4.84+(0.92*'HASIL HITUNGAN'!G23)+(0.528*'HASIL HITUNGAN'!H23)+(0.404*'HASIL HITUNGAN'!I23)+(0.892*'HASIL HITUNGAN'!J23)+(0.11*'HASIL HITUNGAN'!K23)-(0.172*'HASIL HITUNGAN'!L23)+(4.679*'HASIL HITUNGAN'!N23)-(0.327*'HASIL HITUNGAN'!M23)</f>
        <v>-4.017749623729074</v>
      </c>
    </row>
    <row r="24" spans="1:7" x14ac:dyDescent="0.25">
      <c r="A24" s="32">
        <v>23</v>
      </c>
      <c r="B24" s="35">
        <f>'HASIL HITUNGAN'!B24</f>
        <v>7.077271412529007E-2</v>
      </c>
      <c r="C24" s="35">
        <f>'HASIL HITUNGAN'!C24</f>
        <v>0.4</v>
      </c>
      <c r="D24" s="35">
        <f>'HASIL HITUNGAN'!D24</f>
        <v>1.1172085502641551</v>
      </c>
      <c r="E24" s="35">
        <f>'HASIL HITUNGAN'!E24</f>
        <v>1</v>
      </c>
      <c r="F24" s="35">
        <f>'HASIL HITUNGAN'!F24</f>
        <v>1</v>
      </c>
      <c r="G24" s="35">
        <f>-4.84+(0.92*'HASIL HITUNGAN'!G24)+(0.528*'HASIL HITUNGAN'!H24)+(0.404*'HASIL HITUNGAN'!I24)+(0.892*'HASIL HITUNGAN'!J24)+(0.11*'HASIL HITUNGAN'!K24)-(0.172*'HASIL HITUNGAN'!L24)+(4.679*'HASIL HITUNGAN'!N24)-(0.327*'HASIL HITUNGAN'!M24)</f>
        <v>-3.7714833423234904</v>
      </c>
    </row>
    <row r="25" spans="1:7" x14ac:dyDescent="0.25">
      <c r="A25" s="32">
        <v>24</v>
      </c>
      <c r="B25" s="35">
        <f>'HASIL HITUNGAN'!B25</f>
        <v>5.6894702254028894E-2</v>
      </c>
      <c r="C25" s="35">
        <f>'HASIL HITUNGAN'!C25</f>
        <v>0.4</v>
      </c>
      <c r="D25" s="35">
        <f>'HASIL HITUNGAN'!D25</f>
        <v>0.93502058204488525</v>
      </c>
      <c r="E25" s="35">
        <f>'HASIL HITUNGAN'!E25</f>
        <v>1</v>
      </c>
      <c r="F25" s="35">
        <f>'HASIL HITUNGAN'!F25</f>
        <v>1</v>
      </c>
      <c r="G25" s="35">
        <f>-4.84+(0.92*'HASIL HITUNGAN'!G25)+(0.528*'HASIL HITUNGAN'!H25)+(0.404*'HASIL HITUNGAN'!I25)+(0.892*'HASIL HITUNGAN'!J25)+(0.11*'HASIL HITUNGAN'!K25)-(0.172*'HASIL HITUNGAN'!L25)+(4.679*'HASIL HITUNGAN'!N25)-(0.327*'HASIL HITUNGAN'!M25)</f>
        <v>-3.9494092625911859</v>
      </c>
    </row>
    <row r="26" spans="1:7" x14ac:dyDescent="0.25">
      <c r="A26" s="32">
        <v>25</v>
      </c>
      <c r="B26" s="35">
        <f>'HASIL HITUNGAN'!B26</f>
        <v>7.4962616690335743E-2</v>
      </c>
      <c r="C26" s="35">
        <f>'HASIL HITUNGAN'!C26</f>
        <v>0.4</v>
      </c>
      <c r="D26" s="35">
        <f>'HASIL HITUNGAN'!D26</f>
        <v>1.1963115683485457</v>
      </c>
      <c r="E26" s="35">
        <f>'HASIL HITUNGAN'!E26</f>
        <v>1</v>
      </c>
      <c r="F26" s="35">
        <f>'HASIL HITUNGAN'!F26</f>
        <v>1</v>
      </c>
      <c r="G26" s="35">
        <f>-4.84+(0.92*'HASIL HITUNGAN'!G26)+(0.528*'HASIL HITUNGAN'!H26)+(0.404*'HASIL HITUNGAN'!I26)+(0.892*'HASIL HITUNGAN'!J26)+(0.11*'HASIL HITUNGAN'!K26)-(0.172*'HASIL HITUNGAN'!L26)+(4.679*'HASIL HITUNGAN'!N26)-(0.327*'HASIL HITUNGAN'!M26)</f>
        <v>-2.9282869483835237</v>
      </c>
    </row>
    <row r="27" spans="1:7" x14ac:dyDescent="0.25">
      <c r="A27" s="32">
        <v>26</v>
      </c>
      <c r="B27" s="35">
        <f>'HASIL HITUNGAN'!B27</f>
        <v>7.562348143570187E-2</v>
      </c>
      <c r="C27" s="35">
        <f>'HASIL HITUNGAN'!C27</f>
        <v>0.4</v>
      </c>
      <c r="D27" s="35">
        <f>'HASIL HITUNGAN'!D27</f>
        <v>1.1577725214258261</v>
      </c>
      <c r="E27" s="35">
        <f>'HASIL HITUNGAN'!E27</f>
        <v>1</v>
      </c>
      <c r="F27" s="35">
        <f>'HASIL HITUNGAN'!F27</f>
        <v>1</v>
      </c>
      <c r="G27" s="35">
        <f>-4.84+(0.92*'HASIL HITUNGAN'!G27)+(0.528*'HASIL HITUNGAN'!H27)+(0.404*'HASIL HITUNGAN'!I27)+(0.892*'HASIL HITUNGAN'!J27)+(0.11*'HASIL HITUNGAN'!K27)-(0.172*'HASIL HITUNGAN'!L27)+(4.679*'HASIL HITUNGAN'!N27)-(0.327*'HASIL HITUNGAN'!M27)</f>
        <v>-2.440782694162098</v>
      </c>
    </row>
    <row r="28" spans="1:7" x14ac:dyDescent="0.25">
      <c r="A28" s="32">
        <v>27</v>
      </c>
      <c r="B28" s="35">
        <f>'HASIL HITUNGAN'!B28</f>
        <v>6.4539951885197677E-2</v>
      </c>
      <c r="C28" s="35">
        <f>'HASIL HITUNGAN'!C28</f>
        <v>0.4</v>
      </c>
      <c r="D28" s="35">
        <f>'HASIL HITUNGAN'!D28</f>
        <v>1.3145257289822978</v>
      </c>
      <c r="E28" s="35">
        <f>'HASIL HITUNGAN'!E28</f>
        <v>1</v>
      </c>
      <c r="F28" s="35">
        <f>'HASIL HITUNGAN'!F28</f>
        <v>1</v>
      </c>
      <c r="G28" s="35">
        <f>-4.84+(0.92*'HASIL HITUNGAN'!G28)+(0.528*'HASIL HITUNGAN'!H28)+(0.404*'HASIL HITUNGAN'!I28)+(0.892*'HASIL HITUNGAN'!J28)+(0.11*'HASIL HITUNGAN'!K28)-(0.172*'HASIL HITUNGAN'!L28)+(4.679*'HASIL HITUNGAN'!N28)-(0.327*'HASIL HITUNGAN'!M28)</f>
        <v>-2.5932562010543787</v>
      </c>
    </row>
    <row r="29" spans="1:7" x14ac:dyDescent="0.25">
      <c r="A29" s="32">
        <v>28</v>
      </c>
      <c r="B29" s="35">
        <f>'HASIL HITUNGAN'!B29</f>
        <v>0.13720632974354821</v>
      </c>
      <c r="C29" s="35">
        <f>'HASIL HITUNGAN'!C29</f>
        <v>0.5</v>
      </c>
      <c r="D29" s="35">
        <f>'HASIL HITUNGAN'!D29</f>
        <v>0.89027172089902717</v>
      </c>
      <c r="E29" s="35">
        <f>'HASIL HITUNGAN'!E29</f>
        <v>0</v>
      </c>
      <c r="F29" s="35">
        <f>'HASIL HITUNGAN'!F29</f>
        <v>1</v>
      </c>
      <c r="G29" s="35">
        <f>-4.84+(0.92*'HASIL HITUNGAN'!G29)+(0.528*'HASIL HITUNGAN'!H29)+(0.404*'HASIL HITUNGAN'!I29)+(0.892*'HASIL HITUNGAN'!J29)+(0.11*'HASIL HITUNGAN'!K29)-(0.172*'HASIL HITUNGAN'!L29)+(4.679*'HASIL HITUNGAN'!N29)-(0.327*'HASIL HITUNGAN'!M29)</f>
        <v>-3.4211209925979946</v>
      </c>
    </row>
    <row r="30" spans="1:7" x14ac:dyDescent="0.25">
      <c r="A30" s="32">
        <v>29</v>
      </c>
      <c r="B30" s="35">
        <f>'HASIL HITUNGAN'!B30</f>
        <v>0.12628208970294666</v>
      </c>
      <c r="C30" s="35">
        <f>'HASIL HITUNGAN'!C30</f>
        <v>0.5</v>
      </c>
      <c r="D30" s="35">
        <f>'HASIL HITUNGAN'!D30</f>
        <v>0.88099831691556552</v>
      </c>
      <c r="E30" s="35">
        <f>'HASIL HITUNGAN'!E30</f>
        <v>0</v>
      </c>
      <c r="F30" s="35">
        <f>'HASIL HITUNGAN'!F30</f>
        <v>1</v>
      </c>
      <c r="G30" s="35">
        <f>-4.84+(0.92*'HASIL HITUNGAN'!G30)+(0.528*'HASIL HITUNGAN'!H30)+(0.404*'HASIL HITUNGAN'!I30)+(0.892*'HASIL HITUNGAN'!J30)+(0.11*'HASIL HITUNGAN'!K30)-(0.172*'HASIL HITUNGAN'!L30)+(4.679*'HASIL HITUNGAN'!N30)-(0.327*'HASIL HITUNGAN'!M30)</f>
        <v>-2.8979636083817026</v>
      </c>
    </row>
    <row r="31" spans="1:7" x14ac:dyDescent="0.25">
      <c r="A31" s="32">
        <v>30</v>
      </c>
      <c r="B31" s="35">
        <f>'HASIL HITUNGAN'!B31</f>
        <v>0.15674922091839777</v>
      </c>
      <c r="C31" s="35">
        <f>'HASIL HITUNGAN'!C31</f>
        <v>0.5</v>
      </c>
      <c r="D31" s="35">
        <f>'HASIL HITUNGAN'!D31</f>
        <v>1.0128368012817583</v>
      </c>
      <c r="E31" s="35">
        <f>'HASIL HITUNGAN'!E31</f>
        <v>0</v>
      </c>
      <c r="F31" s="35">
        <f>'HASIL HITUNGAN'!F31</f>
        <v>1</v>
      </c>
      <c r="G31" s="35">
        <f>-4.84+(0.92*'HASIL HITUNGAN'!G31)+(0.528*'HASIL HITUNGAN'!H31)+(0.404*'HASIL HITUNGAN'!I31)+(0.892*'HASIL HITUNGAN'!J31)+(0.11*'HASIL HITUNGAN'!K31)-(0.172*'HASIL HITUNGAN'!L31)+(4.679*'HASIL HITUNGAN'!N31)-(0.327*'HASIL HITUNGAN'!M31)</f>
        <v>-3.1266671134490629</v>
      </c>
    </row>
    <row r="32" spans="1:7" x14ac:dyDescent="0.25">
      <c r="A32" s="32">
        <v>31</v>
      </c>
      <c r="B32" s="35">
        <f>'HASIL HITUNGAN'!B32</f>
        <v>4.5513403377146419E-2</v>
      </c>
      <c r="C32" s="35">
        <f>'HASIL HITUNGAN'!C32</f>
        <v>0.33333333333333331</v>
      </c>
      <c r="D32" s="35">
        <f>'HASIL HITUNGAN'!D32</f>
        <v>0.80888107626904826</v>
      </c>
      <c r="E32" s="35">
        <f>'HASIL HITUNGAN'!E32</f>
        <v>0</v>
      </c>
      <c r="F32" s="35">
        <f>'HASIL HITUNGAN'!F32</f>
        <v>1</v>
      </c>
      <c r="G32" s="35">
        <f>-4.84+(0.92*'HASIL HITUNGAN'!G32)+(0.528*'HASIL HITUNGAN'!H32)+(0.404*'HASIL HITUNGAN'!I32)+(0.892*'HASIL HITUNGAN'!J32)+(0.11*'HASIL HITUNGAN'!K32)-(0.172*'HASIL HITUNGAN'!L32)+(4.679*'HASIL HITUNGAN'!N32)-(0.327*'HASIL HITUNGAN'!M32)</f>
        <v>-4.7186436709314057</v>
      </c>
    </row>
    <row r="33" spans="1:7" x14ac:dyDescent="0.25">
      <c r="A33" s="32">
        <v>32</v>
      </c>
      <c r="B33" s="35">
        <f>'HASIL HITUNGAN'!B33</f>
        <v>6.0092479645967492E-2</v>
      </c>
      <c r="C33" s="35">
        <f>'HASIL HITUNGAN'!C33</f>
        <v>0.33333333333333331</v>
      </c>
      <c r="D33" s="35">
        <f>'HASIL HITUNGAN'!D33</f>
        <v>0.71335962100365946</v>
      </c>
      <c r="E33" s="35">
        <f>'HASIL HITUNGAN'!E33</f>
        <v>0</v>
      </c>
      <c r="F33" s="35">
        <f>'HASIL HITUNGAN'!F33</f>
        <v>1</v>
      </c>
      <c r="G33" s="35">
        <f>-4.84+(0.92*'HASIL HITUNGAN'!G33)+(0.528*'HASIL HITUNGAN'!H33)+(0.404*'HASIL HITUNGAN'!I33)+(0.892*'HASIL HITUNGAN'!J33)+(0.11*'HASIL HITUNGAN'!K33)-(0.172*'HASIL HITUNGAN'!L33)+(4.679*'HASIL HITUNGAN'!N33)-(0.327*'HASIL HITUNGAN'!M33)</f>
        <v>-4.461911307853466</v>
      </c>
    </row>
    <row r="34" spans="1:7" x14ac:dyDescent="0.25">
      <c r="A34" s="32">
        <v>33</v>
      </c>
      <c r="B34" s="35">
        <f>'HASIL HITUNGAN'!B34</f>
        <v>0.10200820793433653</v>
      </c>
      <c r="C34" s="35">
        <f>'HASIL HITUNGAN'!C34</f>
        <v>0.33333333333333331</v>
      </c>
      <c r="D34" s="35">
        <f>'HASIL HITUNGAN'!D34</f>
        <v>-253959.78261255511</v>
      </c>
      <c r="E34" s="35">
        <f>'HASIL HITUNGAN'!E34</f>
        <v>0</v>
      </c>
      <c r="F34" s="35">
        <f>'HASIL HITUNGAN'!F34</f>
        <v>1</v>
      </c>
      <c r="G34" s="35">
        <f>-4.84+(0.92*'HASIL HITUNGAN'!G34)+(0.528*'HASIL HITUNGAN'!H34)+(0.404*'HASIL HITUNGAN'!I34)+(0.892*'HASIL HITUNGAN'!J34)+(0.11*'HASIL HITUNGAN'!K34)-(0.172*'HASIL HITUNGAN'!L34)+(4.679*'HASIL HITUNGAN'!N34)-(0.327*'HASIL HITUNGAN'!M34)</f>
        <v>-4.1325760296011911</v>
      </c>
    </row>
    <row r="35" spans="1:7" x14ac:dyDescent="0.25">
      <c r="A35" s="32">
        <v>34</v>
      </c>
      <c r="B35" s="35">
        <f>'HASIL HITUNGAN'!B35</f>
        <v>7.7134911457448121E-2</v>
      </c>
      <c r="C35" s="35">
        <f>'HASIL HITUNGAN'!C35</f>
        <v>0.33333333333333331</v>
      </c>
      <c r="D35" s="35">
        <f>'HASIL HITUNGAN'!D35</f>
        <v>2.8466912192539229</v>
      </c>
      <c r="E35" s="35">
        <f>'HASIL HITUNGAN'!E35</f>
        <v>1</v>
      </c>
      <c r="F35" s="35">
        <f>'HASIL HITUNGAN'!F35</f>
        <v>1</v>
      </c>
      <c r="G35" s="35">
        <f>-4.84+(0.92*'HASIL HITUNGAN'!G35)+(0.528*'HASIL HITUNGAN'!H35)+(0.404*'HASIL HITUNGAN'!I35)+(0.892*'HASIL HITUNGAN'!J35)+(0.11*'HASIL HITUNGAN'!K35)-(0.172*'HASIL HITUNGAN'!L35)+(4.679*'HASIL HITUNGAN'!N35)-(0.327*'HASIL HITUNGAN'!M35)</f>
        <v>-1.5219556156406377</v>
      </c>
    </row>
    <row r="36" spans="1:7" x14ac:dyDescent="0.25">
      <c r="A36" s="32">
        <v>35</v>
      </c>
      <c r="B36" s="35">
        <f>'HASIL HITUNGAN'!B36</f>
        <v>7.9258460874650688E-2</v>
      </c>
      <c r="C36" s="35">
        <f>'HASIL HITUNGAN'!C36</f>
        <v>0.33333333333333331</v>
      </c>
      <c r="D36" s="35">
        <f>'HASIL HITUNGAN'!D36</f>
        <v>2.722243551860692</v>
      </c>
      <c r="E36" s="35">
        <f>'HASIL HITUNGAN'!E36</f>
        <v>1</v>
      </c>
      <c r="F36" s="35">
        <f>'HASIL HITUNGAN'!F36</f>
        <v>1</v>
      </c>
      <c r="G36" s="35">
        <f>-4.84+(0.92*'HASIL HITUNGAN'!G36)+(0.528*'HASIL HITUNGAN'!H36)+(0.404*'HASIL HITUNGAN'!I36)+(0.892*'HASIL HITUNGAN'!J36)+(0.11*'HASIL HITUNGAN'!K36)-(0.172*'HASIL HITUNGAN'!L36)+(4.679*'HASIL HITUNGAN'!N36)-(0.327*'HASIL HITUNGAN'!M36)</f>
        <v>-2.0090161423212165</v>
      </c>
    </row>
    <row r="37" spans="1:7" x14ac:dyDescent="0.25">
      <c r="A37" s="32">
        <v>36</v>
      </c>
      <c r="B37" s="35">
        <f>'HASIL HITUNGAN'!B37</f>
        <v>0.15466396119867423</v>
      </c>
      <c r="C37" s="35">
        <f>'HASIL HITUNGAN'!C37</f>
        <v>0.33333333333333331</v>
      </c>
      <c r="D37" s="35">
        <f>'HASIL HITUNGAN'!D37</f>
        <v>2.1851775932944517</v>
      </c>
      <c r="E37" s="35">
        <f>'HASIL HITUNGAN'!E37</f>
        <v>1</v>
      </c>
      <c r="F37" s="35">
        <f>'HASIL HITUNGAN'!F37</f>
        <v>1</v>
      </c>
      <c r="G37" s="35">
        <f>-4.84+(0.92*'HASIL HITUNGAN'!G37)+(0.528*'HASIL HITUNGAN'!H37)+(0.404*'HASIL HITUNGAN'!I37)+(0.892*'HASIL HITUNGAN'!J37)+(0.11*'HASIL HITUNGAN'!K37)-(0.172*'HASIL HITUNGAN'!L37)+(4.679*'HASIL HITUNGAN'!N37)-(0.327*'HASIL HITUNGAN'!M37)</f>
        <v>-3.352835871563741</v>
      </c>
    </row>
    <row r="38" spans="1:7" x14ac:dyDescent="0.25">
      <c r="A38" s="32">
        <v>37</v>
      </c>
      <c r="B38" s="35">
        <f>'HASIL HITUNGAN'!B38</f>
        <v>0.20865431973300763</v>
      </c>
      <c r="C38" s="35">
        <f>'HASIL HITUNGAN'!C38</f>
        <v>0.5</v>
      </c>
      <c r="D38" s="35">
        <f>'HASIL HITUNGAN'!D38</f>
        <v>0.94344729301649322</v>
      </c>
      <c r="E38" s="35">
        <f>'HASIL HITUNGAN'!E38</f>
        <v>0</v>
      </c>
      <c r="F38" s="35">
        <f>'HASIL HITUNGAN'!F38</f>
        <v>1</v>
      </c>
      <c r="G38" s="35">
        <f>-4.84+(0.92*'HASIL HITUNGAN'!G38)+(0.528*'HASIL HITUNGAN'!H38)+(0.404*'HASIL HITUNGAN'!I38)+(0.892*'HASIL HITUNGAN'!J38)+(0.11*'HASIL HITUNGAN'!K38)-(0.172*'HASIL HITUNGAN'!L38)+(4.679*'HASIL HITUNGAN'!N38)-(0.327*'HASIL HITUNGAN'!M38)</f>
        <v>-5.2829820343374412E-2</v>
      </c>
    </row>
    <row r="39" spans="1:7" x14ac:dyDescent="0.25">
      <c r="A39" s="32">
        <v>38</v>
      </c>
      <c r="B39" s="35">
        <f>'HASIL HITUNGAN'!B39</f>
        <v>0.22194038351402368</v>
      </c>
      <c r="C39" s="35">
        <f>'HASIL HITUNGAN'!C39</f>
        <v>0.5</v>
      </c>
      <c r="D39" s="35">
        <f>'HASIL HITUNGAN'!D39</f>
        <v>0.93574138977376931</v>
      </c>
      <c r="E39" s="35">
        <f>'HASIL HITUNGAN'!E39</f>
        <v>0</v>
      </c>
      <c r="F39" s="35">
        <f>'HASIL HITUNGAN'!F39</f>
        <v>1</v>
      </c>
      <c r="G39" s="35">
        <f>-4.84+(0.92*'HASIL HITUNGAN'!G39)+(0.528*'HASIL HITUNGAN'!H39)+(0.404*'HASIL HITUNGAN'!I39)+(0.892*'HASIL HITUNGAN'!J39)+(0.11*'HASIL HITUNGAN'!K39)-(0.172*'HASIL HITUNGAN'!L39)+(4.679*'HASIL HITUNGAN'!N39)-(0.327*'HASIL HITUNGAN'!M39)</f>
        <v>2.0257878668075731</v>
      </c>
    </row>
    <row r="40" spans="1:7" x14ac:dyDescent="0.25">
      <c r="A40" s="32">
        <v>39</v>
      </c>
      <c r="B40" s="35">
        <f>'HASIL HITUNGAN'!B40</f>
        <v>0.2228743372710113</v>
      </c>
      <c r="C40" s="35">
        <f>'HASIL HITUNGAN'!C40</f>
        <v>0.5</v>
      </c>
      <c r="D40" s="35">
        <f>'HASIL HITUNGAN'!D40</f>
        <v>0.99078198944545881</v>
      </c>
      <c r="E40" s="35">
        <f>'HASIL HITUNGAN'!E40</f>
        <v>0</v>
      </c>
      <c r="F40" s="35">
        <f>'HASIL HITUNGAN'!F40</f>
        <v>1</v>
      </c>
      <c r="G40" s="35">
        <f>-4.84+(0.92*'HASIL HITUNGAN'!G40)+(0.528*'HASIL HITUNGAN'!H40)+(0.404*'HASIL HITUNGAN'!I40)+(0.892*'HASIL HITUNGAN'!J40)+(0.11*'HASIL HITUNGAN'!K40)-(0.172*'HASIL HITUNGAN'!L40)+(4.679*'HASIL HITUNGAN'!N40)-(0.327*'HASIL HITUNGAN'!M40)</f>
        <v>1.8033629565432208</v>
      </c>
    </row>
    <row r="41" spans="1:7" x14ac:dyDescent="0.25">
      <c r="A41" s="32">
        <v>40</v>
      </c>
      <c r="B41" s="35">
        <f>'HASIL HITUNGAN'!B41</f>
        <v>9.8879068055170799E-2</v>
      </c>
      <c r="C41" s="35">
        <f>'HASIL HITUNGAN'!C41</f>
        <v>0.5</v>
      </c>
      <c r="D41" s="35">
        <f>'HASIL HITUNGAN'!D41</f>
        <v>0.9453123002079924</v>
      </c>
      <c r="E41" s="35">
        <f>'HASIL HITUNGAN'!E41</f>
        <v>0</v>
      </c>
      <c r="F41" s="35">
        <f>'HASIL HITUNGAN'!F41</f>
        <v>1</v>
      </c>
      <c r="G41" s="35">
        <f>-4.84+(0.92*'HASIL HITUNGAN'!G41)+(0.528*'HASIL HITUNGAN'!H41)+(0.404*'HASIL HITUNGAN'!I41)+(0.892*'HASIL HITUNGAN'!J41)+(0.11*'HASIL HITUNGAN'!K41)-(0.172*'HASIL HITUNGAN'!L41)+(4.679*'HASIL HITUNGAN'!N41)-(0.327*'HASIL HITUNGAN'!M41)</f>
        <v>-2.8205172305337349</v>
      </c>
    </row>
    <row r="42" spans="1:7" x14ac:dyDescent="0.25">
      <c r="A42" s="32">
        <v>41</v>
      </c>
      <c r="B42" s="35">
        <f>'HASIL HITUNGAN'!B42</f>
        <v>0.11923542663481126</v>
      </c>
      <c r="C42" s="35">
        <f>'HASIL HITUNGAN'!C42</f>
        <v>0.5</v>
      </c>
      <c r="D42" s="35">
        <f>'HASIL HITUNGAN'!D42</f>
        <v>0.79612290592117196</v>
      </c>
      <c r="E42" s="35">
        <f>'HASIL HITUNGAN'!E42</f>
        <v>0</v>
      </c>
      <c r="F42" s="35">
        <f>'HASIL HITUNGAN'!F42</f>
        <v>1</v>
      </c>
      <c r="G42" s="35">
        <f>-4.84+(0.92*'HASIL HITUNGAN'!G42)+(0.528*'HASIL HITUNGAN'!H42)+(0.404*'HASIL HITUNGAN'!I42)+(0.892*'HASIL HITUNGAN'!J42)+(0.11*'HASIL HITUNGAN'!K42)-(0.172*'HASIL HITUNGAN'!L42)+(4.679*'HASIL HITUNGAN'!N42)-(0.327*'HASIL HITUNGAN'!M42)</f>
        <v>-1.8461256791461311</v>
      </c>
    </row>
    <row r="43" spans="1:7" x14ac:dyDescent="0.25">
      <c r="A43" s="32">
        <v>42</v>
      </c>
      <c r="B43" s="35">
        <f>'HASIL HITUNGAN'!B43</f>
        <v>0.12119563403916878</v>
      </c>
      <c r="C43" s="35">
        <f>'HASIL HITUNGAN'!C43</f>
        <v>0.5</v>
      </c>
      <c r="D43" s="35">
        <f>'HASIL HITUNGAN'!D43</f>
        <v>0.94564976928788869</v>
      </c>
      <c r="E43" s="35">
        <f>'HASIL HITUNGAN'!E43</f>
        <v>1</v>
      </c>
      <c r="F43" s="35">
        <f>'HASIL HITUNGAN'!F43</f>
        <v>1</v>
      </c>
      <c r="G43" s="35">
        <f>-4.84+(0.92*'HASIL HITUNGAN'!G43)+(0.528*'HASIL HITUNGAN'!H43)+(0.404*'HASIL HITUNGAN'!I43)+(0.892*'HASIL HITUNGAN'!J43)+(0.11*'HASIL HITUNGAN'!K43)-(0.172*'HASIL HITUNGAN'!L43)+(4.679*'HASIL HITUNGAN'!N43)-(0.327*'HASIL HITUNGAN'!M43)</f>
        <v>-2.3793846631338083</v>
      </c>
    </row>
    <row r="44" spans="1:7" x14ac:dyDescent="0.25">
      <c r="A44" s="32">
        <v>43</v>
      </c>
      <c r="B44" s="35">
        <f>'HASIL HITUNGAN'!B44</f>
        <v>0.29370008801127595</v>
      </c>
      <c r="C44" s="35">
        <f>'HASIL HITUNGAN'!C44</f>
        <v>0.4</v>
      </c>
      <c r="D44" s="35">
        <f>'HASIL HITUNGAN'!D44</f>
        <v>2.0361218730284878</v>
      </c>
      <c r="E44" s="35">
        <f>'HASIL HITUNGAN'!E44</f>
        <v>1</v>
      </c>
      <c r="F44" s="35">
        <f>'HASIL HITUNGAN'!F44</f>
        <v>1</v>
      </c>
      <c r="G44" s="35">
        <f>-4.84+(0.92*'HASIL HITUNGAN'!G44)+(0.528*'HASIL HITUNGAN'!H44)+(0.404*'HASIL HITUNGAN'!I44)+(0.892*'HASIL HITUNGAN'!J44)+(0.11*'HASIL HITUNGAN'!K44)-(0.172*'HASIL HITUNGAN'!L44)+(4.679*'HASIL HITUNGAN'!N44)-(0.327*'HASIL HITUNGAN'!M44)</f>
        <v>-1.7471475514480086</v>
      </c>
    </row>
    <row r="45" spans="1:7" x14ac:dyDescent="0.25">
      <c r="A45" s="32">
        <v>44</v>
      </c>
      <c r="B45" s="35">
        <f>'HASIL HITUNGAN'!B45</f>
        <v>0.29050890490236342</v>
      </c>
      <c r="C45" s="35">
        <f>'HASIL HITUNGAN'!C45</f>
        <v>0.4</v>
      </c>
      <c r="D45" s="35">
        <f>'HASIL HITUNGAN'!D45</f>
        <v>2.1370825806900156</v>
      </c>
      <c r="E45" s="35">
        <f>'HASIL HITUNGAN'!E45</f>
        <v>1</v>
      </c>
      <c r="F45" s="35">
        <f>'HASIL HITUNGAN'!F45</f>
        <v>1</v>
      </c>
      <c r="G45" s="35">
        <f>-4.84+(0.92*'HASIL HITUNGAN'!G45)+(0.528*'HASIL HITUNGAN'!H45)+(0.404*'HASIL HITUNGAN'!I45)+(0.892*'HASIL HITUNGAN'!J45)+(0.11*'HASIL HITUNGAN'!K45)-(0.172*'HASIL HITUNGAN'!L45)+(4.679*'HASIL HITUNGAN'!N45)-(0.327*'HASIL HITUNGAN'!M45)</f>
        <v>-2.094549599942237</v>
      </c>
    </row>
    <row r="46" spans="1:7" x14ac:dyDescent="0.25">
      <c r="A46" s="32">
        <v>45</v>
      </c>
      <c r="B46" s="35">
        <f>'HASIL HITUNGAN'!B46</f>
        <v>2.6956302993155581</v>
      </c>
      <c r="C46" s="35">
        <f>'HASIL HITUNGAN'!C46</f>
        <v>0.4</v>
      </c>
      <c r="D46" s="35">
        <f>'HASIL HITUNGAN'!D46</f>
        <v>22.846209049403964</v>
      </c>
      <c r="E46" s="35">
        <f>'HASIL HITUNGAN'!E46</f>
        <v>1</v>
      </c>
      <c r="F46" s="35">
        <f>'HASIL HITUNGAN'!F46</f>
        <v>1</v>
      </c>
      <c r="G46" s="35">
        <f>-4.84+(0.92*'HASIL HITUNGAN'!G46)+(0.528*'HASIL HITUNGAN'!H46)+(0.404*'HASIL HITUNGAN'!I46)+(0.892*'HASIL HITUNGAN'!J46)+(0.11*'HASIL HITUNGAN'!K46)-(0.172*'HASIL HITUNGAN'!L46)+(4.679*'HASIL HITUNGAN'!N46)-(0.327*'HASIL HITUNGAN'!M46)</f>
        <v>4.1878033309342877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6"/>
  <sheetViews>
    <sheetView tabSelected="1" workbookViewId="0">
      <selection activeCell="P19" sqref="P19"/>
    </sheetView>
  </sheetViews>
  <sheetFormatPr defaultRowHeight="15" x14ac:dyDescent="0.25"/>
  <sheetData>
    <row r="2" spans="2:7" x14ac:dyDescent="0.25">
      <c r="B2">
        <v>13</v>
      </c>
      <c r="C2">
        <v>21</v>
      </c>
      <c r="D2">
        <v>12</v>
      </c>
      <c r="E2">
        <v>11</v>
      </c>
      <c r="F2">
        <v>11</v>
      </c>
      <c r="G2">
        <v>22</v>
      </c>
    </row>
    <row r="3" spans="2:7" x14ac:dyDescent="0.25">
      <c r="B3">
        <v>12</v>
      </c>
      <c r="C3">
        <v>19</v>
      </c>
      <c r="D3">
        <v>12</v>
      </c>
      <c r="E3">
        <v>11</v>
      </c>
      <c r="F3">
        <v>12</v>
      </c>
      <c r="G3">
        <v>19</v>
      </c>
    </row>
    <row r="4" spans="2:7" x14ac:dyDescent="0.25">
      <c r="B4">
        <v>12</v>
      </c>
      <c r="C4">
        <v>21</v>
      </c>
      <c r="D4">
        <v>12</v>
      </c>
      <c r="E4">
        <v>12</v>
      </c>
      <c r="F4">
        <v>12</v>
      </c>
      <c r="G4">
        <v>18</v>
      </c>
    </row>
    <row r="5" spans="2:7" x14ac:dyDescent="0.25">
      <c r="B5">
        <v>12</v>
      </c>
      <c r="C5">
        <v>21</v>
      </c>
      <c r="D5">
        <v>12</v>
      </c>
      <c r="E5">
        <v>12</v>
      </c>
      <c r="F5">
        <v>12</v>
      </c>
      <c r="G5">
        <v>19</v>
      </c>
    </row>
    <row r="6" spans="2:7" x14ac:dyDescent="0.25">
      <c r="B6">
        <v>13</v>
      </c>
      <c r="C6">
        <v>21</v>
      </c>
      <c r="D6">
        <v>12</v>
      </c>
      <c r="E6">
        <v>12</v>
      </c>
      <c r="F6">
        <v>12</v>
      </c>
      <c r="G6">
        <v>19</v>
      </c>
    </row>
    <row r="7" spans="2:7" x14ac:dyDescent="0.25">
      <c r="B7">
        <v>13</v>
      </c>
      <c r="C7">
        <v>19</v>
      </c>
      <c r="D7">
        <v>15</v>
      </c>
      <c r="E7">
        <v>12</v>
      </c>
      <c r="F7">
        <v>12</v>
      </c>
      <c r="G7">
        <v>24</v>
      </c>
    </row>
    <row r="8" spans="2:7" x14ac:dyDescent="0.25">
      <c r="B8">
        <v>17</v>
      </c>
      <c r="C8">
        <v>25</v>
      </c>
      <c r="D8">
        <v>16</v>
      </c>
      <c r="E8">
        <v>13</v>
      </c>
      <c r="F8">
        <v>12</v>
      </c>
      <c r="G8">
        <v>25</v>
      </c>
    </row>
    <row r="9" spans="2:7" x14ac:dyDescent="0.25">
      <c r="B9">
        <v>16</v>
      </c>
      <c r="C9">
        <v>22</v>
      </c>
      <c r="D9">
        <v>15</v>
      </c>
      <c r="E9">
        <v>11</v>
      </c>
      <c r="F9">
        <v>12</v>
      </c>
      <c r="G9">
        <v>23</v>
      </c>
    </row>
    <row r="10" spans="2:7" x14ac:dyDescent="0.25">
      <c r="B10">
        <v>14</v>
      </c>
      <c r="C10">
        <v>22</v>
      </c>
      <c r="D10">
        <v>12</v>
      </c>
      <c r="E10">
        <v>10</v>
      </c>
      <c r="F10">
        <v>12</v>
      </c>
      <c r="G10">
        <v>22</v>
      </c>
    </row>
    <row r="11" spans="2:7" x14ac:dyDescent="0.25">
      <c r="B11">
        <v>15</v>
      </c>
      <c r="C11">
        <v>24</v>
      </c>
      <c r="D11">
        <v>13</v>
      </c>
      <c r="E11">
        <v>12</v>
      </c>
      <c r="F11">
        <v>12</v>
      </c>
      <c r="G11">
        <v>24</v>
      </c>
    </row>
    <row r="12" spans="2:7" x14ac:dyDescent="0.25">
      <c r="B12">
        <v>16</v>
      </c>
      <c r="C12">
        <v>23</v>
      </c>
      <c r="D12">
        <v>14</v>
      </c>
      <c r="E12">
        <v>12</v>
      </c>
      <c r="F12">
        <v>12</v>
      </c>
      <c r="G12">
        <v>24</v>
      </c>
    </row>
    <row r="13" spans="2:7" x14ac:dyDescent="0.25">
      <c r="B13">
        <v>15</v>
      </c>
      <c r="C13">
        <v>22</v>
      </c>
      <c r="D13">
        <v>15</v>
      </c>
      <c r="E13">
        <v>15</v>
      </c>
      <c r="F13">
        <v>15</v>
      </c>
      <c r="G13">
        <v>23</v>
      </c>
    </row>
    <row r="14" spans="2:7" x14ac:dyDescent="0.25">
      <c r="B14">
        <v>16</v>
      </c>
      <c r="C14">
        <v>24</v>
      </c>
      <c r="D14">
        <v>14</v>
      </c>
      <c r="E14">
        <v>12</v>
      </c>
      <c r="F14">
        <v>12</v>
      </c>
      <c r="G14">
        <v>24</v>
      </c>
    </row>
    <row r="15" spans="2:7" x14ac:dyDescent="0.25">
      <c r="B15">
        <v>16</v>
      </c>
      <c r="C15">
        <v>21</v>
      </c>
      <c r="D15">
        <v>9</v>
      </c>
      <c r="E15">
        <v>12</v>
      </c>
      <c r="F15">
        <v>12</v>
      </c>
      <c r="G15">
        <v>24</v>
      </c>
    </row>
    <row r="16" spans="2:7" x14ac:dyDescent="0.25">
      <c r="B16">
        <v>15</v>
      </c>
      <c r="C16">
        <v>19</v>
      </c>
      <c r="D16">
        <v>12</v>
      </c>
      <c r="E16">
        <v>12</v>
      </c>
      <c r="F16">
        <v>12</v>
      </c>
      <c r="G16">
        <v>24</v>
      </c>
    </row>
    <row r="17" spans="2:7" x14ac:dyDescent="0.25">
      <c r="B17">
        <v>15</v>
      </c>
      <c r="C17">
        <v>21</v>
      </c>
      <c r="D17">
        <v>16</v>
      </c>
      <c r="E17">
        <v>9</v>
      </c>
      <c r="F17">
        <v>11</v>
      </c>
      <c r="G17">
        <v>24</v>
      </c>
    </row>
    <row r="18" spans="2:7" x14ac:dyDescent="0.25">
      <c r="B18">
        <v>16</v>
      </c>
      <c r="C18">
        <v>23</v>
      </c>
      <c r="D18">
        <v>16</v>
      </c>
      <c r="E18">
        <v>12</v>
      </c>
      <c r="F18">
        <v>12</v>
      </c>
      <c r="G18">
        <v>24</v>
      </c>
    </row>
    <row r="19" spans="2:7" x14ac:dyDescent="0.25">
      <c r="B19">
        <v>16</v>
      </c>
      <c r="C19">
        <v>27</v>
      </c>
      <c r="D19">
        <v>20</v>
      </c>
      <c r="E19">
        <v>14</v>
      </c>
      <c r="F19">
        <v>15</v>
      </c>
      <c r="G19">
        <v>28</v>
      </c>
    </row>
    <row r="20" spans="2:7" x14ac:dyDescent="0.25">
      <c r="B20">
        <v>13</v>
      </c>
      <c r="C20">
        <v>20</v>
      </c>
      <c r="D20">
        <v>12</v>
      </c>
      <c r="E20">
        <v>10</v>
      </c>
      <c r="F20">
        <v>9</v>
      </c>
      <c r="G20">
        <v>19</v>
      </c>
    </row>
    <row r="21" spans="2:7" x14ac:dyDescent="0.25">
      <c r="B21">
        <v>15</v>
      </c>
      <c r="C21">
        <v>22</v>
      </c>
      <c r="D21">
        <v>16</v>
      </c>
      <c r="E21">
        <v>13</v>
      </c>
      <c r="F21">
        <v>10</v>
      </c>
      <c r="G21">
        <v>23</v>
      </c>
    </row>
    <row r="22" spans="2:7" x14ac:dyDescent="0.25">
      <c r="B22">
        <v>16</v>
      </c>
      <c r="C22">
        <v>21</v>
      </c>
      <c r="D22">
        <v>13</v>
      </c>
      <c r="E22">
        <v>14</v>
      </c>
      <c r="F22">
        <v>13</v>
      </c>
      <c r="G22">
        <v>25</v>
      </c>
    </row>
    <row r="23" spans="2:7" x14ac:dyDescent="0.25">
      <c r="B23">
        <v>16</v>
      </c>
      <c r="C23">
        <v>21</v>
      </c>
      <c r="D23">
        <v>16</v>
      </c>
      <c r="E23">
        <v>12</v>
      </c>
      <c r="F23">
        <v>10</v>
      </c>
      <c r="G23">
        <v>21</v>
      </c>
    </row>
    <row r="24" spans="2:7" x14ac:dyDescent="0.25">
      <c r="B24">
        <v>14</v>
      </c>
      <c r="C24">
        <v>24</v>
      </c>
      <c r="D24">
        <v>18</v>
      </c>
      <c r="E24">
        <v>12</v>
      </c>
      <c r="F24">
        <v>12</v>
      </c>
      <c r="G24">
        <v>24</v>
      </c>
    </row>
    <row r="25" spans="2:7" x14ac:dyDescent="0.25">
      <c r="B25">
        <v>15</v>
      </c>
      <c r="C25">
        <v>25</v>
      </c>
      <c r="D25">
        <v>17</v>
      </c>
      <c r="E25">
        <v>11</v>
      </c>
      <c r="F25">
        <v>12</v>
      </c>
      <c r="G25">
        <v>25</v>
      </c>
    </row>
    <row r="26" spans="2:7" x14ac:dyDescent="0.25">
      <c r="B26">
        <v>16</v>
      </c>
      <c r="C26">
        <v>27</v>
      </c>
      <c r="D26">
        <v>15</v>
      </c>
      <c r="E26">
        <v>10</v>
      </c>
      <c r="F26">
        <v>12</v>
      </c>
      <c r="G26">
        <v>27</v>
      </c>
    </row>
    <row r="27" spans="2:7" x14ac:dyDescent="0.25">
      <c r="B27">
        <v>16</v>
      </c>
      <c r="C27">
        <v>25</v>
      </c>
      <c r="D27">
        <v>16</v>
      </c>
      <c r="E27">
        <v>12</v>
      </c>
      <c r="F27">
        <v>12</v>
      </c>
      <c r="G27">
        <v>26</v>
      </c>
    </row>
    <row r="28" spans="2:7" x14ac:dyDescent="0.25">
      <c r="B28">
        <v>18</v>
      </c>
      <c r="C28">
        <v>23</v>
      </c>
      <c r="D28">
        <v>15</v>
      </c>
      <c r="E28">
        <v>12</v>
      </c>
      <c r="F28">
        <v>12</v>
      </c>
      <c r="G28">
        <v>23</v>
      </c>
    </row>
    <row r="29" spans="2:7" x14ac:dyDescent="0.25">
      <c r="B29">
        <v>20</v>
      </c>
      <c r="C29">
        <v>22</v>
      </c>
      <c r="D29">
        <v>15</v>
      </c>
      <c r="E29">
        <v>15</v>
      </c>
      <c r="F29">
        <v>12</v>
      </c>
      <c r="G29">
        <v>21</v>
      </c>
    </row>
    <row r="30" spans="2:7" x14ac:dyDescent="0.25">
      <c r="B30">
        <v>14</v>
      </c>
      <c r="C30">
        <v>23</v>
      </c>
      <c r="D30">
        <v>16</v>
      </c>
      <c r="E30">
        <v>12</v>
      </c>
      <c r="F30">
        <v>15</v>
      </c>
      <c r="G30">
        <v>23</v>
      </c>
    </row>
    <row r="31" spans="2:7" x14ac:dyDescent="0.25">
      <c r="B31">
        <v>15</v>
      </c>
      <c r="C31">
        <v>20</v>
      </c>
      <c r="D31">
        <v>20</v>
      </c>
      <c r="E31">
        <v>12</v>
      </c>
      <c r="F31">
        <v>12</v>
      </c>
      <c r="G31">
        <v>26</v>
      </c>
    </row>
    <row r="32" spans="2:7" x14ac:dyDescent="0.25">
      <c r="B32">
        <v>14</v>
      </c>
      <c r="C32">
        <v>22</v>
      </c>
      <c r="D32">
        <v>17</v>
      </c>
      <c r="E32">
        <v>12</v>
      </c>
      <c r="F32">
        <v>12</v>
      </c>
      <c r="G32">
        <v>23</v>
      </c>
    </row>
    <row r="33" spans="2:7" x14ac:dyDescent="0.25">
      <c r="B33">
        <v>15</v>
      </c>
      <c r="C33">
        <v>21</v>
      </c>
      <c r="D33">
        <v>16</v>
      </c>
      <c r="E33">
        <v>9</v>
      </c>
      <c r="F33">
        <v>12</v>
      </c>
      <c r="G33">
        <v>23</v>
      </c>
    </row>
    <row r="34" spans="2:7" x14ac:dyDescent="0.25">
      <c r="B34">
        <v>12</v>
      </c>
      <c r="C34">
        <v>24</v>
      </c>
      <c r="D34">
        <v>16</v>
      </c>
      <c r="E34">
        <v>12</v>
      </c>
      <c r="F34">
        <v>11</v>
      </c>
      <c r="G34">
        <v>24</v>
      </c>
    </row>
    <row r="35" spans="2:7" x14ac:dyDescent="0.25">
      <c r="B35">
        <v>16</v>
      </c>
      <c r="C35">
        <v>25</v>
      </c>
      <c r="D35">
        <v>16</v>
      </c>
      <c r="E35">
        <v>14</v>
      </c>
      <c r="F35">
        <v>12</v>
      </c>
      <c r="G35">
        <v>24</v>
      </c>
    </row>
    <row r="36" spans="2:7" x14ac:dyDescent="0.25">
      <c r="B36">
        <v>17</v>
      </c>
      <c r="C36">
        <v>25</v>
      </c>
      <c r="D36">
        <v>16</v>
      </c>
      <c r="E36">
        <v>10</v>
      </c>
      <c r="F36">
        <v>15</v>
      </c>
      <c r="G36">
        <v>25</v>
      </c>
    </row>
    <row r="37" spans="2:7" x14ac:dyDescent="0.25">
      <c r="B37">
        <v>16</v>
      </c>
      <c r="C37">
        <v>22</v>
      </c>
      <c r="D37">
        <v>16</v>
      </c>
      <c r="E37">
        <v>9</v>
      </c>
      <c r="F37">
        <v>9</v>
      </c>
      <c r="G37">
        <v>23</v>
      </c>
    </row>
    <row r="38" spans="2:7" x14ac:dyDescent="0.25">
      <c r="B38">
        <v>17</v>
      </c>
      <c r="C38">
        <v>19</v>
      </c>
      <c r="D38">
        <v>19</v>
      </c>
      <c r="E38">
        <v>12</v>
      </c>
      <c r="F38">
        <v>10</v>
      </c>
      <c r="G38">
        <v>26</v>
      </c>
    </row>
    <row r="39" spans="2:7" x14ac:dyDescent="0.25">
      <c r="B39">
        <v>16</v>
      </c>
      <c r="C39">
        <v>23</v>
      </c>
      <c r="D39">
        <v>16</v>
      </c>
      <c r="E39">
        <v>14</v>
      </c>
      <c r="F39">
        <v>12</v>
      </c>
      <c r="G39">
        <v>23</v>
      </c>
    </row>
    <row r="40" spans="2:7" x14ac:dyDescent="0.25">
      <c r="B40">
        <v>16</v>
      </c>
      <c r="C40">
        <v>21</v>
      </c>
      <c r="D40">
        <v>16</v>
      </c>
      <c r="E40">
        <v>10</v>
      </c>
      <c r="F40">
        <v>12</v>
      </c>
      <c r="G40">
        <v>21</v>
      </c>
    </row>
    <row r="41" spans="2:7" x14ac:dyDescent="0.25">
      <c r="B41">
        <v>16</v>
      </c>
      <c r="C41">
        <v>23</v>
      </c>
      <c r="D41">
        <v>15</v>
      </c>
      <c r="E41">
        <v>13</v>
      </c>
      <c r="F41">
        <v>11</v>
      </c>
      <c r="G41">
        <v>24</v>
      </c>
    </row>
    <row r="42" spans="2:7" x14ac:dyDescent="0.25">
      <c r="B42">
        <v>17</v>
      </c>
      <c r="C42">
        <v>26</v>
      </c>
      <c r="D42">
        <v>16</v>
      </c>
      <c r="E42">
        <v>14</v>
      </c>
      <c r="F42">
        <v>12</v>
      </c>
      <c r="G42">
        <v>26</v>
      </c>
    </row>
    <row r="43" spans="2:7" x14ac:dyDescent="0.25">
      <c r="B43">
        <v>12</v>
      </c>
      <c r="C43">
        <v>25</v>
      </c>
      <c r="D43">
        <v>17</v>
      </c>
      <c r="E43">
        <v>12</v>
      </c>
      <c r="F43">
        <v>15</v>
      </c>
      <c r="G43">
        <v>24</v>
      </c>
    </row>
    <row r="44" spans="2:7" x14ac:dyDescent="0.25">
      <c r="B44">
        <v>16</v>
      </c>
      <c r="C44">
        <v>24</v>
      </c>
      <c r="D44">
        <v>16</v>
      </c>
      <c r="E44">
        <v>12</v>
      </c>
      <c r="F44">
        <v>9</v>
      </c>
      <c r="G44">
        <v>24</v>
      </c>
    </row>
    <row r="45" spans="2:7" x14ac:dyDescent="0.25">
      <c r="B45">
        <v>13</v>
      </c>
      <c r="C45">
        <v>24</v>
      </c>
      <c r="D45">
        <v>16</v>
      </c>
      <c r="E45">
        <v>11</v>
      </c>
      <c r="F45">
        <v>10</v>
      </c>
      <c r="G45">
        <v>23</v>
      </c>
    </row>
    <row r="46" spans="2:7" x14ac:dyDescent="0.25">
      <c r="B46">
        <v>12</v>
      </c>
      <c r="C46">
        <v>22</v>
      </c>
      <c r="D46">
        <v>15</v>
      </c>
      <c r="E46">
        <v>10</v>
      </c>
      <c r="F46">
        <v>13</v>
      </c>
      <c r="G46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REKAP A.R</vt:lpstr>
      <vt:lpstr>HASIL HITUNGAN</vt:lpstr>
      <vt:lpstr>TABULASI DATA</vt:lpstr>
      <vt:lpstr>TRANSFORM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2021-05-02T09:09:32Z</dcterms:created>
  <dcterms:modified xsi:type="dcterms:W3CDTF">2022-08-01T12:39:13Z</dcterms:modified>
</cp:coreProperties>
</file>